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il.Vik\Norges Skiforbund\Oslo Skikrets - Styret\Store fellesmøte ink Ting\Vårmøte 2020\"/>
    </mc:Choice>
  </mc:AlternateContent>
  <xr:revisionPtr revIDLastSave="0" documentId="8_{C5C18E8D-3F00-4766-8881-E9EB5A3C4354}" xr6:coauthVersionLast="45" xr6:coauthVersionMax="45" xr10:uidLastSave="{00000000-0000-0000-0000-000000000000}"/>
  <bookViews>
    <workbookView xWindow="-120" yWindow="-120" windowWidth="29040" windowHeight="15840" tabRatio="659" firstSheet="1" activeTab="5" xr2:uid="{00000000-000D-0000-FFFF-FFFF00000000}"/>
  </bookViews>
  <sheets>
    <sheet name="Avedlingsrapport2018" sheetId="15" state="hidden" r:id="rId1"/>
    <sheet name="Forside" sheetId="23" r:id="rId2"/>
    <sheet name="Resultatregnskap" sheetId="22" r:id="rId3"/>
    <sheet name="Noter 2019" sheetId="24" r:id="rId4"/>
    <sheet name="Balanse2019" sheetId="19" r:id="rId5"/>
    <sheet name="Presentasjon 2019" sheetId="17" r:id="rId6"/>
    <sheet name="Fordeling 2019" sheetId="20" r:id="rId7"/>
    <sheet name="avdelingsrapport2019" sheetId="18" state="hidden" r:id="rId8"/>
    <sheet name="Støtte regneark" sheetId="21" state="hidden" r:id="rId9"/>
  </sheets>
  <externalReferences>
    <externalReference r:id="rId10"/>
  </externalReferences>
  <definedNames>
    <definedName name="_xlnm.Print_Area" localSheetId="6">'Fordeling 2019'!$A$1:$H$18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7" i="24" l="1"/>
  <c r="D137" i="24"/>
  <c r="E125" i="24"/>
  <c r="D125" i="24"/>
  <c r="F125" i="24" s="1"/>
  <c r="E122" i="24"/>
  <c r="D122" i="24"/>
  <c r="E112" i="24"/>
  <c r="D112" i="24"/>
  <c r="D111" i="24"/>
  <c r="E98" i="24"/>
  <c r="D98" i="24"/>
  <c r="D97" i="24"/>
  <c r="E72" i="24"/>
  <c r="D72" i="24"/>
  <c r="E61" i="24"/>
  <c r="D60" i="24"/>
  <c r="D61" i="24" s="1"/>
  <c r="E46" i="24"/>
  <c r="D46" i="24"/>
  <c r="D41" i="24"/>
  <c r="D40" i="24"/>
  <c r="H28" i="22"/>
  <c r="F25" i="22"/>
  <c r="F28" i="22" s="1"/>
  <c r="H20" i="22"/>
  <c r="H22" i="22" s="1"/>
  <c r="H30" i="22" s="1"/>
  <c r="H34" i="22" s="1"/>
  <c r="H36" i="22" s="1"/>
  <c r="F18" i="22"/>
  <c r="F17" i="22"/>
  <c r="F16" i="22"/>
  <c r="H12" i="22"/>
  <c r="F10" i="22"/>
  <c r="F9" i="22"/>
  <c r="F8" i="22"/>
  <c r="E128" i="24" l="1"/>
  <c r="F12" i="22"/>
  <c r="F20" i="22"/>
  <c r="D128" i="24"/>
  <c r="F128" i="24" s="1"/>
  <c r="F122" i="24"/>
  <c r="F22" i="22" l="1"/>
  <c r="F30" i="22" s="1"/>
  <c r="F34" i="22" s="1"/>
  <c r="F36" i="22" s="1"/>
  <c r="B6" i="21"/>
  <c r="J46" i="17"/>
  <c r="K45" i="17"/>
  <c r="J45" i="17"/>
  <c r="K54" i="17" l="1"/>
  <c r="M14" i="20" l="1"/>
  <c r="C12" i="20" l="1"/>
  <c r="C2" i="20"/>
  <c r="L7" i="20" l="1"/>
  <c r="L10" i="20" s="1"/>
  <c r="S7" i="20" l="1"/>
  <c r="S3" i="20"/>
  <c r="S6" i="20"/>
  <c r="S4" i="20"/>
  <c r="S8" i="20"/>
  <c r="S5" i="20"/>
  <c r="F11" i="20"/>
  <c r="N10" i="20"/>
  <c r="F10" i="20"/>
  <c r="F9" i="20"/>
  <c r="F8" i="20"/>
  <c r="F7" i="20"/>
  <c r="F5" i="20"/>
  <c r="F4" i="20"/>
  <c r="D13" i="20"/>
  <c r="F3" i="20"/>
  <c r="F2" i="20"/>
  <c r="D19" i="17"/>
  <c r="D3" i="17"/>
  <c r="S10" i="20" l="1"/>
  <c r="F6" i="20"/>
  <c r="E13" i="20"/>
  <c r="M16" i="20" s="1"/>
  <c r="M15" i="20"/>
  <c r="F12" i="20"/>
  <c r="D53" i="17"/>
  <c r="F53" i="17"/>
  <c r="E53" i="17"/>
  <c r="D26" i="17"/>
  <c r="D55" i="17" s="1"/>
  <c r="D52" i="17"/>
  <c r="D50" i="17"/>
  <c r="D49" i="17"/>
  <c r="D48" i="17"/>
  <c r="M17" i="20" l="1"/>
  <c r="C13" i="20"/>
  <c r="D47" i="17"/>
  <c r="D46" i="17"/>
  <c r="D44" i="17"/>
  <c r="D43" i="17"/>
  <c r="D42" i="17"/>
  <c r="D40" i="17"/>
  <c r="D39" i="17"/>
  <c r="D38" i="17"/>
  <c r="D37" i="17"/>
  <c r="D36" i="17"/>
  <c r="D9" i="17"/>
  <c r="D34" i="17"/>
  <c r="D32" i="17"/>
  <c r="D30" i="17"/>
  <c r="D29" i="17"/>
  <c r="C42" i="17"/>
  <c r="C30" i="17"/>
  <c r="B29" i="17"/>
  <c r="B53" i="17" s="1"/>
  <c r="F26" i="17"/>
  <c r="F55" i="17" s="1"/>
  <c r="E26" i="17"/>
  <c r="E55" i="17" s="1"/>
  <c r="C26" i="17"/>
  <c r="B3" i="17"/>
  <c r="B26" i="17" s="1"/>
  <c r="B55" i="17" s="1"/>
  <c r="C53" i="17" l="1"/>
  <c r="C55" i="17"/>
  <c r="H6" i="15" l="1"/>
  <c r="F11" i="15"/>
  <c r="J5" i="15"/>
  <c r="H30" i="15" l="1"/>
  <c r="J23" i="15"/>
  <c r="F23" i="15"/>
  <c r="J22" i="15"/>
  <c r="F20" i="15"/>
  <c r="F19" i="15"/>
  <c r="F18" i="15"/>
  <c r="F14" i="15"/>
  <c r="F10" i="15"/>
  <c r="J8" i="15"/>
  <c r="J6" i="15"/>
  <c r="F8" i="15"/>
  <c r="F6" i="15"/>
  <c r="F22" i="15"/>
  <c r="H32" i="15" l="1"/>
  <c r="I30" i="15"/>
  <c r="I32" i="15" s="1"/>
  <c r="K28" i="15" l="1"/>
  <c r="L28" i="15" s="1"/>
  <c r="F16" i="15" l="1"/>
  <c r="F26" i="15"/>
  <c r="F24" i="15"/>
  <c r="F12" i="15"/>
  <c r="F9" i="15"/>
  <c r="F7" i="15"/>
  <c r="B84" i="15"/>
  <c r="B87" i="15" l="1"/>
  <c r="B86" i="15"/>
  <c r="B85" i="15"/>
  <c r="B88" i="15" s="1"/>
  <c r="M5" i="20"/>
  <c r="M4" i="20"/>
  <c r="M6" i="20"/>
  <c r="M7" i="20"/>
  <c r="M8" i="20"/>
  <c r="M9" i="20"/>
  <c r="M3" i="20"/>
  <c r="M10" i="20" l="1"/>
  <c r="M18" i="20" s="1"/>
  <c r="O6" i="20" l="1"/>
  <c r="P6" i="20" s="1"/>
  <c r="Q6" i="20" s="1"/>
  <c r="O5" i="20"/>
  <c r="P5" i="20" s="1"/>
  <c r="Q5" i="20" s="1"/>
  <c r="O8" i="20"/>
  <c r="P8" i="20" s="1"/>
  <c r="Q8" i="20" s="1"/>
  <c r="G10" i="20" s="1"/>
  <c r="O4" i="20"/>
  <c r="P4" i="20" s="1"/>
  <c r="Q4" i="20" s="1"/>
  <c r="G9" i="20" s="1"/>
  <c r="O3" i="20"/>
  <c r="O9" i="20"/>
  <c r="P9" i="20" s="1"/>
  <c r="Q9" i="20" s="1"/>
  <c r="G11" i="20" s="1"/>
  <c r="O7" i="20"/>
  <c r="P7" i="20" s="1"/>
  <c r="Q7" i="20" s="1"/>
  <c r="G6" i="20" s="1"/>
  <c r="G5" i="20" l="1"/>
  <c r="P3" i="20"/>
  <c r="O10" i="20"/>
  <c r="Q3" i="20" l="1"/>
  <c r="G4" i="20" s="1"/>
  <c r="P10" i="20"/>
  <c r="R16" i="20" s="1"/>
  <c r="G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tc={F8AEECFC-C446-47E6-854A-14133AAF8EC3}</author>
    <author>Lindgren, Toril</author>
    <author>Toril Vik</author>
  </authors>
  <commentList>
    <comment ref="E2" authorId="0" shapeId="0" xr:uid="{F8AEECFC-C446-47E6-854A-14133AAF8E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Tilføring fra EK styret til fordeling overskudd</t>
      </text>
    </comment>
    <comment ref="E3" authorId="1" shapeId="0" xr:uid="{8E280A7A-807B-4F45-99AF-443F961E2860}">
      <text>
        <r>
          <rPr>
            <b/>
            <sz val="8"/>
            <color indexed="81"/>
            <rFont val="Tahoma"/>
            <family val="2"/>
          </rPr>
          <t>Lindgren, Toril:</t>
        </r>
        <r>
          <rPr>
            <sz val="8"/>
            <color indexed="81"/>
            <rFont val="Tahoma"/>
            <family val="2"/>
          </rPr>
          <t xml:space="preserve">
OSK har beholdt 67463
</t>
        </r>
      </text>
    </comment>
    <comment ref="E4" authorId="2" shapeId="0" xr:uid="{229072FE-1BA9-4867-A1F4-F323006D29EB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 støtte prosjekt ALLE MED</t>
        </r>
      </text>
    </comment>
    <comment ref="E5" authorId="2" shapeId="0" xr:uid="{50B4B523-E024-44BB-8AB3-FECCA063914A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 støtte prosjekt ALLE MED</t>
        </r>
      </text>
    </comment>
    <comment ref="E6" authorId="2" shapeId="0" xr:uid="{65B6C74D-7E82-456D-B192-81F660E011F3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KHUS + kommunal støtte prosjekt ALLE MED</t>
        </r>
      </text>
    </comment>
    <comment ref="E9" authorId="2" shapeId="0" xr:uid="{EE29B0EC-FBB0-474E-9765-BF20D96DADF9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 støtte prosjekt ALLE MED</t>
        </r>
      </text>
    </comment>
    <comment ref="E10" authorId="2" shapeId="0" xr:uid="{4AD9B6AA-46AC-4DB8-8A24-5C22CF542DDD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 støtte prosjekt ALLE MED</t>
        </r>
      </text>
    </comment>
    <comment ref="E11" authorId="2" shapeId="0" xr:uid="{BA831392-08D2-4319-8AC2-B5800A8100BA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Direkte støtte NSF</t>
        </r>
      </text>
    </comment>
    <comment ref="E24" authorId="2" shapeId="0" xr:uid="{CCF421D2-156B-4621-BDB2-CAA4D9C6613A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Forlsag : styrke overskuddet til fordeling gren</t>
        </r>
      </text>
    </comment>
    <comment ref="E25" authorId="2" shapeId="0" xr:uid="{FF078520-9EFC-4BA1-BF2B-DD2A1632A1D9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Kretsen har beholdt kr 67463 til fordeling av overskudd</t>
        </r>
      </text>
    </comment>
    <comment ref="E26" authorId="2" shapeId="0" xr:uid="{312E65B1-79F4-451D-974B-C71D7D34B8FA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 tilskudd</t>
        </r>
      </text>
    </comment>
    <comment ref="E27" authorId="2" shapeId="0" xr:uid="{D1615A76-27A1-4265-9463-554098118461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Kommunalt tilskudd</t>
        </r>
      </text>
    </comment>
    <comment ref="E28" authorId="2" shapeId="0" xr:uid="{1978ADF7-E377-4F20-B619-201531F428D0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KHUS+ kommunalt tilskudd</t>
        </r>
      </text>
    </comment>
    <comment ref="E31" authorId="2" shapeId="0" xr:uid="{54E23D88-12E3-45CF-8423-35D5861964FB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Kommunalt tilskudd</t>
        </r>
      </text>
    </comment>
    <comment ref="E32" authorId="2" shapeId="0" xr:uid="{5EC32515-DECC-4603-8047-5D742D3A9098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Kummunalt tilskudd</t>
        </r>
      </text>
    </comment>
    <comment ref="E33" authorId="2" shapeId="0" xr:uid="{A61F0E94-3D7F-4657-904E-3EEA9A3656EB}">
      <text>
        <r>
          <rPr>
            <b/>
            <sz val="9"/>
            <color indexed="81"/>
            <rFont val="Tahoma"/>
            <family val="2"/>
          </rPr>
          <t>Toril Vik:</t>
        </r>
        <r>
          <rPr>
            <sz val="9"/>
            <color indexed="81"/>
            <rFont val="Tahoma"/>
            <family val="2"/>
          </rPr>
          <t xml:space="preserve">
Tilskudd NSF</t>
        </r>
      </text>
    </comment>
  </commentList>
</comments>
</file>

<file path=xl/sharedStrings.xml><?xml version="1.0" encoding="utf-8"?>
<sst xmlns="http://schemas.openxmlformats.org/spreadsheetml/2006/main" count="593" uniqueCount="332">
  <si>
    <t>Hytta</t>
  </si>
  <si>
    <t>RESULTAT</t>
  </si>
  <si>
    <t>Adm. Styret</t>
  </si>
  <si>
    <t>Alpint</t>
  </si>
  <si>
    <t>Hopp/komb.</t>
  </si>
  <si>
    <t>Langrenn</t>
  </si>
  <si>
    <t>Note 3</t>
  </si>
  <si>
    <t>Alpin</t>
  </si>
  <si>
    <t>Freestyle</t>
  </si>
  <si>
    <t>Telemark</t>
  </si>
  <si>
    <t>Hopp</t>
  </si>
  <si>
    <t>Kombinert</t>
  </si>
  <si>
    <t>Totalt</t>
  </si>
  <si>
    <t>Kundefordringer</t>
  </si>
  <si>
    <t>Sum omløpsmidler</t>
  </si>
  <si>
    <t>Leverandørgjeld</t>
  </si>
  <si>
    <t>Annen kortsiktig gjeld</t>
  </si>
  <si>
    <t>Team Kollen</t>
  </si>
  <si>
    <t>Idr reg %</t>
  </si>
  <si>
    <t>Medlemmer idr.reg</t>
  </si>
  <si>
    <t>3% ALLE</t>
  </si>
  <si>
    <t>Forbruk av avsatt midler</t>
  </si>
  <si>
    <t>Tilfordeling</t>
  </si>
  <si>
    <t>Resultat</t>
  </si>
  <si>
    <t>Allerede disponert av overskudd</t>
  </si>
  <si>
    <t>Cupstøtte</t>
  </si>
  <si>
    <t>US</t>
  </si>
  <si>
    <t>Inntekt Langrenn</t>
  </si>
  <si>
    <t>Integrering</t>
  </si>
  <si>
    <t>Sum</t>
  </si>
  <si>
    <t>20 - Administrasjon</t>
  </si>
  <si>
    <t xml:space="preserve">     20100 - Administrasjon</t>
  </si>
  <si>
    <t xml:space="preserve">     20110 - Kretsting</t>
  </si>
  <si>
    <t xml:space="preserve">     20120 - Integrering</t>
  </si>
  <si>
    <t xml:space="preserve">     20130 - Lagskontingent</t>
  </si>
  <si>
    <t xml:space="preserve">     20140 - Bingo</t>
  </si>
  <si>
    <t xml:space="preserve">     20160 - Tilskudd Oslo kommune</t>
  </si>
  <si>
    <t xml:space="preserve">     20170 - Tilskudd Oslo kommune Heiskort</t>
  </si>
  <si>
    <t xml:space="preserve">     20180 - Annen støtte/sponsormidler</t>
  </si>
  <si>
    <t xml:space="preserve">     20200 - Hytta</t>
  </si>
  <si>
    <t xml:space="preserve">     20210 - Snøsikre anlegg</t>
  </si>
  <si>
    <t xml:space="preserve">     20260 - Fagmøter/reisefordeling Styre/adm</t>
  </si>
  <si>
    <t xml:space="preserve">     20300 - Trener 1 Alpin</t>
  </si>
  <si>
    <t xml:space="preserve">     20330 - Alpinaktivitet funksjonshemmede</t>
  </si>
  <si>
    <t xml:space="preserve">     20340 - Deltakeravgift Alpin</t>
  </si>
  <si>
    <t xml:space="preserve">     20360 - Fagmøter/reisefordeling Alpin</t>
  </si>
  <si>
    <t xml:space="preserve">     20540 - Deltakeravgift Hopp</t>
  </si>
  <si>
    <t xml:space="preserve">     20550 - Utgifter mesterskap Hopp/kombinert</t>
  </si>
  <si>
    <t xml:space="preserve">     20700 - Trener 1 Langrenn</t>
  </si>
  <si>
    <t xml:space="preserve">     20710 - Trener 2 Langrenn</t>
  </si>
  <si>
    <t xml:space="preserve">     20740 - Deltakeravgift Langrenn</t>
  </si>
  <si>
    <t xml:space="preserve">     20750 - Utgifter mesterskap Langrenn</t>
  </si>
  <si>
    <t xml:space="preserve">     20760 - Fagmøter/reisefordeling Langrenn</t>
  </si>
  <si>
    <t xml:space="preserve">     20860 - Fagmøter/reisefordeling Telemark</t>
  </si>
  <si>
    <t xml:space="preserve">     22181 - Disponeres av alpinmidler</t>
  </si>
  <si>
    <t xml:space="preserve">     22183 - Disponeres av langrennmidler</t>
  </si>
  <si>
    <t xml:space="preserve">     70240 - Ungdomsstafetten</t>
  </si>
  <si>
    <t xml:space="preserve">     95000 - Lønnskostnader ansatte</t>
  </si>
  <si>
    <t xml:space="preserve">     95001 - Driftskostnader ansatte</t>
  </si>
  <si>
    <t xml:space="preserve">     95002 - Virksomhetskostnader</t>
  </si>
  <si>
    <t>30 - Alpin</t>
  </si>
  <si>
    <t xml:space="preserve">     30110 - FIS liste Alpin</t>
  </si>
  <si>
    <t xml:space="preserve">     30210 - Hovedlandsrennet</t>
  </si>
  <si>
    <t>70 - Langrenn</t>
  </si>
  <si>
    <t xml:space="preserve">     70110 - FIS liste Langrenn</t>
  </si>
  <si>
    <t xml:space="preserve">     70220 - Snøsamling 15/16 år</t>
  </si>
  <si>
    <t xml:space="preserve">     70230 - Hovedlandsrennet 15/16 år</t>
  </si>
  <si>
    <t xml:space="preserve">     70400 - NM senior</t>
  </si>
  <si>
    <t xml:space="preserve">     70410 - Smøreboder</t>
  </si>
  <si>
    <t>73 - Team Kollen</t>
  </si>
  <si>
    <t xml:space="preserve">     73100 - Team Kollen</t>
  </si>
  <si>
    <t xml:space="preserve">     20001 - Post 3</t>
  </si>
  <si>
    <t xml:space="preserve">     20310 - Trener 2 Alpin</t>
  </si>
  <si>
    <t xml:space="preserve">     20560 - Fagmøter/reisefordeling Hopp</t>
  </si>
  <si>
    <t xml:space="preserve">     20660 - Fagmøter/reisefordeling Kombinert</t>
  </si>
  <si>
    <t xml:space="preserve">     30120 - FIS påmelding Alpin</t>
  </si>
  <si>
    <t>NOTE</t>
  </si>
  <si>
    <t>EIENDELER</t>
  </si>
  <si>
    <t>Varer</t>
  </si>
  <si>
    <t>Varelager</t>
  </si>
  <si>
    <t>Sum varebeholdning</t>
  </si>
  <si>
    <t>Fordringer</t>
  </si>
  <si>
    <t>Andre kortsiktige fordringer</t>
  </si>
  <si>
    <t>Sum fordringer</t>
  </si>
  <si>
    <t>Bankinnskudd, kontanter o.l.</t>
  </si>
  <si>
    <t>SUM EIENDELER</t>
  </si>
  <si>
    <t>EGENKAPITAL OG GJELD</t>
  </si>
  <si>
    <t>Egenkapital med selvpålagte restriksjoner</t>
  </si>
  <si>
    <t>Grupper</t>
  </si>
  <si>
    <t>Årsresultat</t>
  </si>
  <si>
    <t>Sum egenkapital med selvpålagte restriksjoner</t>
  </si>
  <si>
    <t>Annen Egenkapital</t>
  </si>
  <si>
    <t>Egenkapital</t>
  </si>
  <si>
    <t>Sum annen egenkapital</t>
  </si>
  <si>
    <t>SUM EGENKAPITAL</t>
  </si>
  <si>
    <t>Kortsiktig gjeld</t>
  </si>
  <si>
    <t>Sum kortsiktig gjeld</t>
  </si>
  <si>
    <t>SUM GJELD</t>
  </si>
  <si>
    <t>SUM EGENKAPITAL OG GJELD</t>
  </si>
  <si>
    <t>_________________</t>
  </si>
  <si>
    <t>__________________</t>
  </si>
  <si>
    <t>_______________________</t>
  </si>
  <si>
    <t xml:space="preserve">     Gudbrand Bakke</t>
  </si>
  <si>
    <t>Lillis Rabbing</t>
  </si>
  <si>
    <t xml:space="preserve">                             Peter Zimmer</t>
  </si>
  <si>
    <t xml:space="preserve">       Styrets Leder</t>
  </si>
  <si>
    <t>Styremedlem</t>
  </si>
  <si>
    <t xml:space="preserve">           Styremedlem</t>
  </si>
  <si>
    <t>____________________</t>
  </si>
  <si>
    <t>___________________</t>
  </si>
  <si>
    <t xml:space="preserve">   Terje Arnold Ulsrud</t>
  </si>
  <si>
    <t xml:space="preserve">                      Morten Eriksen</t>
  </si>
  <si>
    <t xml:space="preserve">       Styremedlem</t>
  </si>
  <si>
    <t xml:space="preserve">      Styremedlem</t>
  </si>
  <si>
    <t xml:space="preserve">    Ann Kristin Sætre</t>
  </si>
  <si>
    <t xml:space="preserve">         Mette Sannes</t>
  </si>
  <si>
    <t xml:space="preserve">        Espen Utaker</t>
  </si>
  <si>
    <t xml:space="preserve">        Styremedlem</t>
  </si>
  <si>
    <t xml:space="preserve">         Styremedlem</t>
  </si>
  <si>
    <t xml:space="preserve">     Henrik Nordviste</t>
  </si>
  <si>
    <t xml:space="preserve">  Toril Brynlund Vik</t>
  </si>
  <si>
    <t xml:space="preserve">        Daglig leder</t>
  </si>
  <si>
    <t>Prosjektrapport 2018</t>
  </si>
  <si>
    <t>inntekter 2018</t>
  </si>
  <si>
    <t>kostnader 2018</t>
  </si>
  <si>
    <t>resultat 2018</t>
  </si>
  <si>
    <t xml:space="preserve">     20350 - Utgifter mesterskap Alpin</t>
  </si>
  <si>
    <t xml:space="preserve">     20440 - Deltakeravgift Freestyle</t>
  </si>
  <si>
    <t xml:space="preserve">     20640 - Deltakeravgift Kombinert</t>
  </si>
  <si>
    <t xml:space="preserve">     20650 - Utgifter mesterskap Kombinert</t>
  </si>
  <si>
    <t xml:space="preserve">     20840 - Deltakeravgift Telemark</t>
  </si>
  <si>
    <t xml:space="preserve">     22185 - Disponeres av Telemark midler</t>
  </si>
  <si>
    <t xml:space="preserve">     22186 - Disponeres av freestylemidler</t>
  </si>
  <si>
    <t xml:space="preserve">     23000 - Viderfakturering Team Kollen</t>
  </si>
  <si>
    <t xml:space="preserve">     30100 - Administrasjon</t>
  </si>
  <si>
    <t xml:space="preserve">     30200 - Landsfinale</t>
  </si>
  <si>
    <t>50 - Hopp</t>
  </si>
  <si>
    <t xml:space="preserve">     50110 - FIS Hopp</t>
  </si>
  <si>
    <t xml:space="preserve">     70250 - Ungdomsstafetten Oslo</t>
  </si>
  <si>
    <t>74 - Team OBOS</t>
  </si>
  <si>
    <t xml:space="preserve">     74100 - Team OBOS Adm</t>
  </si>
  <si>
    <t xml:space="preserve">     74200 - Team OBOS tilskudd</t>
  </si>
  <si>
    <t xml:space="preserve">     74310 - 1. samling</t>
  </si>
  <si>
    <t xml:space="preserve">     74320 - Samling 3 Beito</t>
  </si>
  <si>
    <t xml:space="preserve">     74330 - Samling Sjusjøen</t>
  </si>
  <si>
    <t xml:space="preserve">     74400 - Felleskostnader</t>
  </si>
  <si>
    <t xml:space="preserve">     74450 - Rennkostnader</t>
  </si>
  <si>
    <t xml:space="preserve">     74540 - Samlinger</t>
  </si>
  <si>
    <t>20 - Lønnskostnader</t>
  </si>
  <si>
    <t>21 - Drift og administrasjon</t>
  </si>
  <si>
    <t>22 - Lagskontingent</t>
  </si>
  <si>
    <t>23 - Tilskudd/støtte/sponsor</t>
  </si>
  <si>
    <t>24 - Integrering</t>
  </si>
  <si>
    <t>25 - Kurs</t>
  </si>
  <si>
    <t>26 - Deltageravgift</t>
  </si>
  <si>
    <t>27 - Utgifter mesterskap</t>
  </si>
  <si>
    <t>28 - Fagmøter</t>
  </si>
  <si>
    <t>40 - Freestyle</t>
  </si>
  <si>
    <t>60 - Kombinert</t>
  </si>
  <si>
    <t>80 - Telemark</t>
  </si>
  <si>
    <t>90 - Hytta</t>
  </si>
  <si>
    <t>91 - ParaAlpint</t>
  </si>
  <si>
    <t>92 - Alpint avsatte midler</t>
  </si>
  <si>
    <t>93 - Hopp avsatte midler</t>
  </si>
  <si>
    <t>94 - Langrenn avsatte midler</t>
  </si>
  <si>
    <t>Team OBOS</t>
  </si>
  <si>
    <t>Intergrering</t>
  </si>
  <si>
    <t>Til fordeling %</t>
  </si>
  <si>
    <t>ParaAlpin</t>
  </si>
  <si>
    <t>Budsj 2019</t>
  </si>
  <si>
    <t>Budsj 2021</t>
  </si>
  <si>
    <t>Budsj 2020</t>
  </si>
  <si>
    <t>Totalt Inntekt</t>
  </si>
  <si>
    <t>Totalt Utgift</t>
  </si>
  <si>
    <t>95 - Telemark Avsatte milder</t>
  </si>
  <si>
    <t>96 - Freestyle avsatte midler</t>
  </si>
  <si>
    <t>24 - Integrering*</t>
  </si>
  <si>
    <t>95 - Telemark avsatte midler</t>
  </si>
  <si>
    <t>Regnsk 2018</t>
  </si>
  <si>
    <t>Balanse 2019</t>
  </si>
  <si>
    <t>Finn Espen Sellæg</t>
  </si>
  <si>
    <t>Prosjektrapport 2019</t>
  </si>
  <si>
    <t>inntekt 2019</t>
  </si>
  <si>
    <t>Budsjettert inntekt 2019</t>
  </si>
  <si>
    <t>Kostnad 2019</t>
  </si>
  <si>
    <t>Budsjettert kostnad 2019</t>
  </si>
  <si>
    <t>Resultat 2019</t>
  </si>
  <si>
    <t>Budsjettert resultat 2019</t>
  </si>
  <si>
    <t>Avvik</t>
  </si>
  <si>
    <t xml:space="preserve">     99999 - Budsjett kostnad</t>
  </si>
  <si>
    <t xml:space="preserve">     88888 - Budsjett inntekter</t>
  </si>
  <si>
    <t xml:space="preserve">     40110 - FIS freestyle</t>
  </si>
  <si>
    <t xml:space="preserve">     50500 - NM senior</t>
  </si>
  <si>
    <t xml:space="preserve">     0 - (Ingen verdi)</t>
  </si>
  <si>
    <t xml:space="preserve">     74311 - 2.samling</t>
  </si>
  <si>
    <t xml:space="preserve">     74312 - 3.samling</t>
  </si>
  <si>
    <t xml:space="preserve">     74313 - 4. samling</t>
  </si>
  <si>
    <t xml:space="preserve">     74460 - Prosjekt</t>
  </si>
  <si>
    <t xml:space="preserve">     22182 - Disponeres av hoppmidler</t>
  </si>
  <si>
    <t>Regnskap 2019</t>
  </si>
  <si>
    <t>"Låst" fordeling 2019</t>
  </si>
  <si>
    <t>Forslag til fordeling overskudd 2019</t>
  </si>
  <si>
    <t xml:space="preserve">20 - Lønnrefusjon </t>
  </si>
  <si>
    <t>Endelig oversikt avsatt midler UB 2019</t>
  </si>
  <si>
    <t>"Forbrukte" midler 2019</t>
  </si>
  <si>
    <t>Kr i henhold til idr.reg</t>
  </si>
  <si>
    <r>
      <t xml:space="preserve">     </t>
    </r>
    <r>
      <rPr>
        <b/>
        <sz val="26"/>
        <color theme="1"/>
        <rFont val="Calibri"/>
        <family val="2"/>
        <scheme val="minor"/>
      </rPr>
      <t xml:space="preserve"> ÅRSREGNSKAP 2019</t>
    </r>
  </si>
  <si>
    <r>
      <t xml:space="preserve">            </t>
    </r>
    <r>
      <rPr>
        <b/>
        <sz val="26"/>
        <color theme="1"/>
        <rFont val="Calibri"/>
        <family val="2"/>
        <scheme val="minor"/>
      </rPr>
      <t xml:space="preserve"> OSLO SKIKRETS</t>
    </r>
  </si>
  <si>
    <t>Resultatregnskap 2019</t>
  </si>
  <si>
    <t>DRIFTSINNTEKTER OG DRIFTSKOSTNADER</t>
  </si>
  <si>
    <t>INNTEKTER</t>
  </si>
  <si>
    <t>Sponsor- og salgsinntekter</t>
  </si>
  <si>
    <t>Offentlige tilskudd</t>
  </si>
  <si>
    <t>Andre Inntekter</t>
  </si>
  <si>
    <t>Sum driftsinntekter</t>
  </si>
  <si>
    <t>KOSTNADER</t>
  </si>
  <si>
    <t>Varekostnad</t>
  </si>
  <si>
    <t>Lønns- og personalkostnader</t>
  </si>
  <si>
    <t>Tilskudd</t>
  </si>
  <si>
    <t>Andre driftskostnader</t>
  </si>
  <si>
    <t>Sum driftskostnader</t>
  </si>
  <si>
    <t>Driftsresultat</t>
  </si>
  <si>
    <t>Finansposter</t>
  </si>
  <si>
    <t>Finansinntekter</t>
  </si>
  <si>
    <t>Finanskostnader</t>
  </si>
  <si>
    <t>Sum finanskostnader</t>
  </si>
  <si>
    <t>ÅRSRESULTAT</t>
  </si>
  <si>
    <t>Disponering av årets resultat</t>
  </si>
  <si>
    <t>Til/fra Egenkapital</t>
  </si>
  <si>
    <t>Avsetning selvpålagte restriksjoner</t>
  </si>
  <si>
    <t>Sum disponering</t>
  </si>
  <si>
    <t>Noter til regnskapet 2019</t>
  </si>
  <si>
    <t>Note 1</t>
  </si>
  <si>
    <t>Regnskapsprinsipper</t>
  </si>
  <si>
    <t>Årsregnskapet er satt opp i smasvar med regnskapslover av 1998 og god regnskapsskikk i Norge.</t>
  </si>
  <si>
    <t>Hovedregler for vurdering og klassifisering av eiendeler og gjeld</t>
  </si>
  <si>
    <t>Eiendeler bestemt for varig eie eller bruk, er klassifisert som anleggsmidler. Andre eiendeler er klassifisert</t>
  </si>
  <si>
    <t xml:space="preserve">som omløpsmidler. Fordringer som skal tilbakebetales innen et år er klassifisert som omløpsmidler. Ved </t>
  </si>
  <si>
    <t>klassifisering av kortsiktig og langsiktig gjeld er tilsvarende kriterier lagt til grunn.</t>
  </si>
  <si>
    <t>Omøpsmidler er vurdert til laveste av anskaffelseskost og virkelig verdi.</t>
  </si>
  <si>
    <t>Annen langsiktig gjeld er vurdert til pålydende beløp.</t>
  </si>
  <si>
    <t xml:space="preserve">Kundefordringer og andre fordringer er oppført i balansen til pålydende etter fradrag for avsetning til </t>
  </si>
  <si>
    <t>forventet tap. Avsetning til tap gjøres på grunnlag av individuelle vurderinger av de enkelte fordringene.</t>
  </si>
  <si>
    <t>Bankinnskudd, kontanter o.l</t>
  </si>
  <si>
    <t xml:space="preserve">Bankinnskudd, kontanter o.l. inkluderer kontanter, bankinnskudd og andre betalingsmidler med forfallsdato </t>
  </si>
  <si>
    <t>som er kortere enn tre måneder fra anskaffelse.</t>
  </si>
  <si>
    <t>Inntektsføringsprinsipper</t>
  </si>
  <si>
    <t>Driftsinntekter og offentlige tilskudd inntektsføres npr de er opptjent.</t>
  </si>
  <si>
    <t>Sponsorinntekter inntektsføres over avtaleperioden.</t>
  </si>
  <si>
    <t>Periodiseringsregler</t>
  </si>
  <si>
    <t>Utgifter kostnadsføres i samme periode som tilhørende inntekt.</t>
  </si>
  <si>
    <t>For prosjekter som har øremerkede midler der ikke aktiviteten er fullført ved periodens utløp,</t>
  </si>
  <si>
    <t>foretas inntektsavsetninger.</t>
  </si>
  <si>
    <t>Skatter</t>
  </si>
  <si>
    <t>Oslo Skikrets driver ikke skattepliktig virksomhet og er derfor ikke skattepliktig.</t>
  </si>
  <si>
    <t>Note 2</t>
  </si>
  <si>
    <t>Tilskudd Oslo Kommune</t>
  </si>
  <si>
    <t>Tilskudd fra NSF</t>
  </si>
  <si>
    <t xml:space="preserve">Post 3 aktivitetsmidler </t>
  </si>
  <si>
    <t>Tilskudd basert på medlemstall</t>
  </si>
  <si>
    <t>Tilskudd ISF</t>
  </si>
  <si>
    <t>Andre tilskudd</t>
  </si>
  <si>
    <t>Deltakeravgifter</t>
  </si>
  <si>
    <t>Årskontingenter/lagsavgift</t>
  </si>
  <si>
    <t>Egenandel startkontingent NM</t>
  </si>
  <si>
    <t>Husleie barnehagen</t>
  </si>
  <si>
    <t>Egenandel samlinger</t>
  </si>
  <si>
    <t>Gaver og bidrag</t>
  </si>
  <si>
    <t>Andre inntekter</t>
  </si>
  <si>
    <t>Note 4</t>
  </si>
  <si>
    <t>Lønn fakturert fra NSF</t>
  </si>
  <si>
    <t>Lønnskostnader</t>
  </si>
  <si>
    <t>Arbeidsgiveravgift</t>
  </si>
  <si>
    <t>Pensjon OTP</t>
  </si>
  <si>
    <t>Andre personalkostnader</t>
  </si>
  <si>
    <t>Kretsens egen lønnsandel daglig leder</t>
  </si>
  <si>
    <t>Antall årsverk</t>
  </si>
  <si>
    <t>Fra sepember 2018 blir alle lønnskostnader i Oslo skikretsen ført av kretsen selv</t>
  </si>
  <si>
    <t xml:space="preserve">Norges Skiforbund (NSF) hadde det formelle arbeidsgiveransvaret for ansatte i skikretsen til og med </t>
  </si>
  <si>
    <t>august 2018.</t>
  </si>
  <si>
    <t>Administrasjonssjef er fortsatt ansatt i NSF.</t>
  </si>
  <si>
    <t>Antall årsverk reflekterer antall årsverk som er utført for kretsen i regnskapsåret.</t>
  </si>
  <si>
    <t>Lønn til Administrasjonssjef fra NSFutgjør kr. 599.298 for 2019. Det er utbetalt  7.007 i annen godtgjørelse fra kretsen.</t>
  </si>
  <si>
    <t xml:space="preserve">Revisjonshonorar er kostnadsført med kr. 43.750 </t>
  </si>
  <si>
    <t>Det er ikke utbetalt honorar eller annen godtgjørelse til styret i 2019. Det er ikke gitt lån til ansatte pr 31.12.19.</t>
  </si>
  <si>
    <t>Note 5</t>
  </si>
  <si>
    <t xml:space="preserve">Andre Driftskostnader </t>
  </si>
  <si>
    <t>Kontorkostnader</t>
  </si>
  <si>
    <t>IT-kostnader</t>
  </si>
  <si>
    <t>Idrettsutstyr</t>
  </si>
  <si>
    <t>Idrettsfaglig bistand</t>
  </si>
  <si>
    <t>Regnskap og revisjon</t>
  </si>
  <si>
    <t>Strøm og vedlikehold hytta</t>
  </si>
  <si>
    <t>Reise og oppholdskostnader</t>
  </si>
  <si>
    <t>Andre kostnader</t>
  </si>
  <si>
    <t>Note 6</t>
  </si>
  <si>
    <t>Debitormassen er påført til pålydende uten fradrag for usikre fordringer.</t>
  </si>
  <si>
    <t>Note 7</t>
  </si>
  <si>
    <t xml:space="preserve">Andre kortsiktige fordringer </t>
  </si>
  <si>
    <t>Forskuddsbetalte kostnader Team Kollen</t>
  </si>
  <si>
    <t>Egenandel Team OBOS</t>
  </si>
  <si>
    <t>Refusjon NAV via NSF for 2018</t>
  </si>
  <si>
    <t>Påløpte inntekter</t>
  </si>
  <si>
    <t>Note 8</t>
  </si>
  <si>
    <t>Bankinnskudd</t>
  </si>
  <si>
    <t>Oslo Skikrets har likvide midler på kr. 4.771.930 pr. 31.12.2019</t>
  </si>
  <si>
    <t>Av dette står kr. 79.567 på skattetrekkskonto.</t>
  </si>
  <si>
    <t>Note 9</t>
  </si>
  <si>
    <t>Gruppenes</t>
  </si>
  <si>
    <t>Annen</t>
  </si>
  <si>
    <t>Egenkapital pr. 01.01.2019</t>
  </si>
  <si>
    <t>Årets endring i egenkapital:</t>
  </si>
  <si>
    <t>Årets resultat til annen egenkapital</t>
  </si>
  <si>
    <t>Avsetning/selvpålagte restriksjoner</t>
  </si>
  <si>
    <t>Egnekapital pr. 31.12.2019</t>
  </si>
  <si>
    <t>Note 10</t>
  </si>
  <si>
    <t>Påløpte kostnader</t>
  </si>
  <si>
    <t>Offentlige avgifter</t>
  </si>
  <si>
    <t>Heiskort refusjon</t>
  </si>
  <si>
    <t>Oslo,    15.mai  2020</t>
  </si>
  <si>
    <t>Grunnlag -FORDELING OVERSKUDD 2019</t>
  </si>
  <si>
    <t>Sum etter "lås fordeling" 2019</t>
  </si>
  <si>
    <t>Det hver enkelt har fått tildelt/tjent ila 2019. Det er kommunalt tilskudd, tilskudd fra NSF og KHUS. Den grønne cella er forslaget om å tilføre 50.000,- fra EK Adm Styret</t>
  </si>
  <si>
    <t>Fordelingen "etter" de låste endringene</t>
  </si>
  <si>
    <t>-</t>
  </si>
  <si>
    <t>Aktivitet/EK fordeling</t>
  </si>
  <si>
    <t>Se grunnlag for fordeling</t>
  </si>
  <si>
    <t>Tilgjengelig EK for 01.01.20</t>
  </si>
  <si>
    <t>Sum etter "forbruk/inntjening" 2019</t>
  </si>
  <si>
    <t>Det de ulike områdene hadde med seg "inn"i 2019 EK for 01.01.19</t>
  </si>
  <si>
    <t>Det hver enkelt har brukt av penger i 2019, se "presentasjon 91-96</t>
  </si>
  <si>
    <t>Medlemmer idr.reg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</si>
</sst>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_-&quot;kr&quot;\ * #,##0_-;\-&quot;kr&quot;\ * #,##0_-;_-&quot;kr&quot;\ 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name val="Times New Roman"/>
      <family val="1"/>
    </font>
    <font>
      <sz val="11"/>
      <color indexed="52"/>
      <name val="Calibri"/>
      <family val="2"/>
    </font>
    <font>
      <b/>
      <sz val="14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2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2"/>
      <color theme="3" tint="0.39997558519241921"/>
      <name val="Times New Roman"/>
      <family val="1"/>
    </font>
    <font>
      <sz val="12"/>
      <color rgb="FF00B0F0"/>
      <name val="Times New Roman"/>
      <family val="1"/>
    </font>
    <font>
      <b/>
      <sz val="12"/>
      <color theme="3" tint="0.3999755851924192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5F5F5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CDCDC"/>
      </bottom>
      <diagonal/>
    </border>
    <border>
      <left/>
      <right style="thin">
        <color rgb="FFDCDCDC"/>
      </right>
      <top/>
      <bottom style="thin">
        <color rgb="FFDCDCDC"/>
      </bottom>
      <diagonal/>
    </border>
    <border>
      <left/>
      <right style="thin">
        <color rgb="FFDCDCDC"/>
      </right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/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7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1" fillId="12" borderId="0" applyNumberFormat="0" applyBorder="0" applyAlignment="0" applyProtection="0"/>
    <xf numFmtId="0" fontId="22" fillId="29" borderId="34" applyNumberFormat="0" applyAlignment="0" applyProtection="0"/>
    <xf numFmtId="0" fontId="23" fillId="30" borderId="35" applyNumberFormat="0" applyAlignment="0" applyProtection="0"/>
    <xf numFmtId="14" fontId="24" fillId="0" borderId="0"/>
    <xf numFmtId="0" fontId="25" fillId="0" borderId="0" applyNumberFormat="0" applyFill="0" applyBorder="0" applyAlignment="0" applyProtection="0"/>
    <xf numFmtId="0" fontId="26" fillId="13" borderId="0" applyNumberFormat="0" applyBorder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6" borderId="34" applyNumberFormat="0" applyAlignment="0" applyProtection="0"/>
    <xf numFmtId="165" fontId="32" fillId="0" borderId="0" applyFont="0" applyFill="0" applyBorder="0" applyAlignment="0" applyProtection="0"/>
    <xf numFmtId="1" fontId="24" fillId="0" borderId="0"/>
    <xf numFmtId="0" fontId="33" fillId="0" borderId="39" applyNumberFormat="0" applyFill="0" applyAlignment="0" applyProtection="0"/>
    <xf numFmtId="37" fontId="34" fillId="0" borderId="0">
      <alignment horizontal="centerContinuous"/>
    </xf>
    <xf numFmtId="37" fontId="34" fillId="0" borderId="0">
      <alignment horizontal="centerContinuous"/>
    </xf>
    <xf numFmtId="0" fontId="35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2" fillId="0" borderId="0"/>
    <xf numFmtId="0" fontId="19" fillId="32" borderId="40" applyNumberFormat="0" applyFont="0" applyAlignment="0" applyProtection="0"/>
    <xf numFmtId="0" fontId="36" fillId="29" borderId="41" applyNumberFormat="0" applyAlignment="0" applyProtection="0"/>
    <xf numFmtId="0" fontId="37" fillId="0" borderId="0"/>
    <xf numFmtId="9" fontId="2" fillId="0" borderId="0" applyFont="0" applyFill="0" applyBorder="0" applyAlignment="0" applyProtection="0"/>
    <xf numFmtId="37" fontId="38" fillId="0" borderId="0">
      <alignment horizontal="centerContinuous"/>
    </xf>
    <xf numFmtId="37" fontId="38" fillId="0" borderId="0">
      <alignment horizontal="centerContinuous"/>
    </xf>
    <xf numFmtId="0" fontId="37" fillId="0" borderId="0"/>
    <xf numFmtId="40" fontId="24" fillId="0" borderId="0"/>
    <xf numFmtId="0" fontId="39" fillId="0" borderId="0" applyNumberFormat="0" applyFill="0" applyBorder="0" applyAlignment="0" applyProtection="0"/>
    <xf numFmtId="0" fontId="40" fillId="0" borderId="42" applyNumberFormat="0" applyFill="0" applyAlignment="0" applyProtection="0"/>
    <xf numFmtId="165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9" fontId="1" fillId="0" borderId="0" applyFont="0" applyFill="0" applyBorder="0" applyAlignment="0" applyProtection="0"/>
    <xf numFmtId="0" fontId="13" fillId="0" borderId="0"/>
  </cellStyleXfs>
  <cellXfs count="2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6" fontId="4" fillId="0" borderId="1" xfId="1" applyNumberFormat="1" applyFont="1" applyBorder="1"/>
    <xf numFmtId="166" fontId="4" fillId="0" borderId="1" xfId="0" applyNumberFormat="1" applyFont="1" applyBorder="1"/>
    <xf numFmtId="3" fontId="4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166" fontId="3" fillId="0" borderId="1" xfId="1" applyNumberFormat="1" applyFont="1" applyBorder="1"/>
    <xf numFmtId="0" fontId="3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6" fillId="3" borderId="1" xfId="0" applyFont="1" applyFill="1" applyBorder="1"/>
    <xf numFmtId="14" fontId="3" fillId="0" borderId="1" xfId="0" applyNumberFormat="1" applyFont="1" applyBorder="1" applyAlignment="1">
      <alignment horizontal="center" wrapText="1"/>
    </xf>
    <xf numFmtId="166" fontId="4" fillId="0" borderId="0" xfId="0" applyNumberFormat="1" applyFont="1"/>
    <xf numFmtId="0" fontId="11" fillId="0" borderId="0" xfId="0" applyFont="1"/>
    <xf numFmtId="166" fontId="3" fillId="0" borderId="1" xfId="0" applyNumberFormat="1" applyFont="1" applyBorder="1"/>
    <xf numFmtId="166" fontId="8" fillId="0" borderId="1" xfId="0" applyNumberFormat="1" applyFont="1" applyBorder="1"/>
    <xf numFmtId="166" fontId="3" fillId="0" borderId="0" xfId="0" applyNumberFormat="1" applyFont="1"/>
    <xf numFmtId="0" fontId="12" fillId="0" borderId="1" xfId="0" applyFont="1" applyBorder="1" applyAlignment="1">
      <alignment vertical="center"/>
    </xf>
    <xf numFmtId="2" fontId="4" fillId="0" borderId="1" xfId="0" applyNumberFormat="1" applyFont="1" applyBorder="1"/>
    <xf numFmtId="0" fontId="4" fillId="6" borderId="1" xfId="0" applyFont="1" applyFill="1" applyBorder="1"/>
    <xf numFmtId="0" fontId="3" fillId="7" borderId="1" xfId="0" applyFont="1" applyFill="1" applyBorder="1" applyAlignment="1">
      <alignment horizontal="center" wrapText="1"/>
    </xf>
    <xf numFmtId="166" fontId="4" fillId="7" borderId="1" xfId="1" applyNumberFormat="1" applyFont="1" applyFill="1" applyBorder="1"/>
    <xf numFmtId="0" fontId="4" fillId="8" borderId="1" xfId="0" applyFont="1" applyFill="1" applyBorder="1"/>
    <xf numFmtId="166" fontId="4" fillId="8" borderId="1" xfId="0" applyNumberFormat="1" applyFont="1" applyFill="1" applyBorder="1"/>
    <xf numFmtId="0" fontId="4" fillId="3" borderId="1" xfId="0" applyFont="1" applyFill="1" applyBorder="1"/>
    <xf numFmtId="166" fontId="4" fillId="3" borderId="1" xfId="0" applyNumberFormat="1" applyFont="1" applyFill="1" applyBorder="1"/>
    <xf numFmtId="166" fontId="3" fillId="3" borderId="1" xfId="0" applyNumberFormat="1" applyFont="1" applyFill="1" applyBorder="1"/>
    <xf numFmtId="166" fontId="4" fillId="6" borderId="1" xfId="0" applyNumberFormat="1" applyFont="1" applyFill="1" applyBorder="1"/>
    <xf numFmtId="0" fontId="0" fillId="0" borderId="1" xfId="0" applyBorder="1"/>
    <xf numFmtId="0" fontId="0" fillId="0" borderId="1" xfId="0" applyFon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3" fontId="4" fillId="0" borderId="0" xfId="0" applyNumberFormat="1" applyFont="1"/>
    <xf numFmtId="164" fontId="0" fillId="0" borderId="1" xfId="0" applyNumberFormat="1" applyBorder="1"/>
    <xf numFmtId="164" fontId="0" fillId="6" borderId="1" xfId="0" applyNumberFormat="1" applyFill="1" applyBorder="1"/>
    <xf numFmtId="164" fontId="0" fillId="6" borderId="1" xfId="0" applyNumberFormat="1" applyFont="1" applyFill="1" applyBorder="1"/>
    <xf numFmtId="164" fontId="4" fillId="6" borderId="1" xfId="0" applyNumberFormat="1" applyFont="1" applyFill="1" applyBorder="1"/>
    <xf numFmtId="164" fontId="0" fillId="3" borderId="1" xfId="0" applyNumberFormat="1" applyFill="1" applyBorder="1"/>
    <xf numFmtId="166" fontId="4" fillId="3" borderId="1" xfId="1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6" fillId="2" borderId="1" xfId="0" applyFont="1" applyFill="1" applyBorder="1"/>
    <xf numFmtId="0" fontId="18" fillId="0" borderId="23" xfId="0" applyNumberFormat="1" applyFont="1" applyFill="1" applyBorder="1" applyAlignment="1">
      <alignment vertical="top" wrapText="1" readingOrder="1"/>
    </xf>
    <xf numFmtId="0" fontId="11" fillId="6" borderId="3" xfId="0" applyFont="1" applyFill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1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3" fontId="6" fillId="9" borderId="1" xfId="0" applyNumberFormat="1" applyFont="1" applyFill="1" applyBorder="1"/>
    <xf numFmtId="3" fontId="6" fillId="0" borderId="0" xfId="0" applyNumberFormat="1" applyFont="1"/>
    <xf numFmtId="164" fontId="0" fillId="3" borderId="1" xfId="0" applyNumberFormat="1" applyFont="1" applyFill="1" applyBorder="1"/>
    <xf numFmtId="164" fontId="5" fillId="3" borderId="1" xfId="0" applyNumberFormat="1" applyFont="1" applyFill="1" applyBorder="1"/>
    <xf numFmtId="3" fontId="0" fillId="0" borderId="0" xfId="0" applyNumberFormat="1" applyBorder="1"/>
    <xf numFmtId="164" fontId="0" fillId="4" borderId="1" xfId="0" applyNumberFormat="1" applyFill="1" applyBorder="1"/>
    <xf numFmtId="164" fontId="0" fillId="4" borderId="1" xfId="0" applyNumberFormat="1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7" fillId="0" borderId="8" xfId="0" applyFont="1" applyBorder="1"/>
    <xf numFmtId="0" fontId="7" fillId="0" borderId="2" xfId="0" applyFont="1" applyBorder="1"/>
    <xf numFmtId="3" fontId="7" fillId="0" borderId="2" xfId="0" applyNumberFormat="1" applyFont="1" applyBorder="1"/>
    <xf numFmtId="0" fontId="6" fillId="2" borderId="0" xfId="0" applyFont="1" applyFill="1"/>
    <xf numFmtId="0" fontId="6" fillId="3" borderId="3" xfId="0" applyFont="1" applyFill="1" applyBorder="1"/>
    <xf numFmtId="3" fontId="6" fillId="9" borderId="3" xfId="0" applyNumberFormat="1" applyFont="1" applyFill="1" applyBorder="1"/>
    <xf numFmtId="0" fontId="6" fillId="0" borderId="4" xfId="0" applyFont="1" applyBorder="1"/>
    <xf numFmtId="3" fontId="6" fillId="9" borderId="4" xfId="0" applyNumberFormat="1" applyFont="1" applyFill="1" applyBorder="1"/>
    <xf numFmtId="0" fontId="6" fillId="0" borderId="27" xfId="0" applyFont="1" applyBorder="1"/>
    <xf numFmtId="3" fontId="6" fillId="9" borderId="28" xfId="0" applyNumberFormat="1" applyFont="1" applyFill="1" applyBorder="1"/>
    <xf numFmtId="3" fontId="6" fillId="9" borderId="29" xfId="0" applyNumberFormat="1" applyFont="1" applyFill="1" applyBorder="1"/>
    <xf numFmtId="0" fontId="6" fillId="0" borderId="9" xfId="0" applyFont="1" applyBorder="1"/>
    <xf numFmtId="3" fontId="6" fillId="9" borderId="10" xfId="0" applyNumberFormat="1" applyFont="1" applyFill="1" applyBorder="1"/>
    <xf numFmtId="0" fontId="6" fillId="3" borderId="11" xfId="0" applyFont="1" applyFill="1" applyBorder="1"/>
    <xf numFmtId="3" fontId="6" fillId="9" borderId="30" xfId="0" applyNumberFormat="1" applyFont="1" applyFill="1" applyBorder="1"/>
    <xf numFmtId="0" fontId="6" fillId="0" borderId="3" xfId="0" applyFont="1" applyBorder="1"/>
    <xf numFmtId="0" fontId="6" fillId="0" borderId="11" xfId="0" applyFont="1" applyBorder="1"/>
    <xf numFmtId="0" fontId="7" fillId="0" borderId="31" xfId="0" applyFont="1" applyBorder="1"/>
    <xf numFmtId="167" fontId="6" fillId="3" borderId="1" xfId="0" applyNumberFormat="1" applyFont="1" applyFill="1" applyBorder="1"/>
    <xf numFmtId="167" fontId="6" fillId="3" borderId="3" xfId="0" applyNumberFormat="1" applyFont="1" applyFill="1" applyBorder="1"/>
    <xf numFmtId="167" fontId="6" fillId="3" borderId="28" xfId="0" applyNumberFormat="1" applyFont="1" applyFill="1" applyBorder="1"/>
    <xf numFmtId="167" fontId="6" fillId="3" borderId="30" xfId="0" applyNumberFormat="1" applyFont="1" applyFill="1" applyBorder="1"/>
    <xf numFmtId="167" fontId="6" fillId="3" borderId="4" xfId="0" applyNumberFormat="1" applyFont="1" applyFill="1" applyBorder="1"/>
    <xf numFmtId="167" fontId="6" fillId="0" borderId="0" xfId="0" applyNumberFormat="1" applyFont="1"/>
    <xf numFmtId="167" fontId="7" fillId="0" borderId="31" xfId="0" applyNumberFormat="1" applyFont="1" applyBorder="1"/>
    <xf numFmtId="167" fontId="7" fillId="0" borderId="2" xfId="0" applyNumberFormat="1" applyFont="1" applyBorder="1"/>
    <xf numFmtId="0" fontId="7" fillId="0" borderId="5" xfId="0" applyFont="1" applyBorder="1"/>
    <xf numFmtId="3" fontId="7" fillId="0" borderId="6" xfId="0" applyNumberFormat="1" applyFont="1" applyBorder="1"/>
    <xf numFmtId="167" fontId="7" fillId="0" borderId="6" xfId="0" applyNumberFormat="1" applyFont="1" applyBorder="1"/>
    <xf numFmtId="3" fontId="7" fillId="0" borderId="7" xfId="0" applyNumberFormat="1" applyFont="1" applyBorder="1"/>
    <xf numFmtId="3" fontId="6" fillId="10" borderId="3" xfId="0" applyNumberFormat="1" applyFont="1" applyFill="1" applyBorder="1"/>
    <xf numFmtId="0" fontId="6" fillId="0" borderId="32" xfId="0" applyFont="1" applyBorder="1"/>
    <xf numFmtId="3" fontId="6" fillId="9" borderId="33" xfId="0" applyNumberFormat="1" applyFont="1" applyFill="1" applyBorder="1"/>
    <xf numFmtId="167" fontId="7" fillId="0" borderId="8" xfId="0" applyNumberFormat="1" applyFont="1" applyBorder="1"/>
    <xf numFmtId="3" fontId="6" fillId="5" borderId="28" xfId="0" applyNumberFormat="1" applyFont="1" applyFill="1" applyBorder="1"/>
    <xf numFmtId="3" fontId="6" fillId="5" borderId="29" xfId="0" applyNumberFormat="1" applyFont="1" applyFill="1" applyBorder="1"/>
    <xf numFmtId="3" fontId="6" fillId="5" borderId="1" xfId="0" applyNumberFormat="1" applyFont="1" applyFill="1" applyBorder="1"/>
    <xf numFmtId="3" fontId="6" fillId="5" borderId="10" xfId="0" applyNumberFormat="1" applyFont="1" applyFill="1" applyBorder="1"/>
    <xf numFmtId="3" fontId="6" fillId="5" borderId="30" xfId="0" applyNumberFormat="1" applyFont="1" applyFill="1" applyBorder="1"/>
    <xf numFmtId="3" fontId="6" fillId="5" borderId="12" xfId="0" applyNumberFormat="1" applyFont="1" applyFill="1" applyBorder="1"/>
    <xf numFmtId="3" fontId="7" fillId="9" borderId="31" xfId="0" applyNumberFormat="1" applyFont="1" applyFill="1" applyBorder="1"/>
    <xf numFmtId="3" fontId="7" fillId="9" borderId="8" xfId="0" applyNumberFormat="1" applyFont="1" applyFill="1" applyBorder="1"/>
    <xf numFmtId="0" fontId="7" fillId="2" borderId="1" xfId="0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15" fillId="0" borderId="0" xfId="0" applyFont="1"/>
    <xf numFmtId="0" fontId="0" fillId="0" borderId="16" xfId="0" applyBorder="1"/>
    <xf numFmtId="0" fontId="5" fillId="0" borderId="0" xfId="0" applyFont="1" applyAlignment="1">
      <alignment horizontal="center"/>
    </xf>
    <xf numFmtId="0" fontId="0" fillId="0" borderId="18" xfId="0" applyBorder="1"/>
    <xf numFmtId="0" fontId="5" fillId="0" borderId="0" xfId="0" applyFont="1" applyBorder="1"/>
    <xf numFmtId="41" fontId="0" fillId="0" borderId="0" xfId="0" applyNumberFormat="1"/>
    <xf numFmtId="41" fontId="0" fillId="0" borderId="16" xfId="0" applyNumberFormat="1" applyBorder="1"/>
    <xf numFmtId="41" fontId="0" fillId="0" borderId="15" xfId="0" applyNumberFormat="1" applyBorder="1"/>
    <xf numFmtId="41" fontId="5" fillId="0" borderId="17" xfId="0" applyNumberFormat="1" applyFont="1" applyBorder="1"/>
    <xf numFmtId="41" fontId="5" fillId="0" borderId="15" xfId="0" applyNumberFormat="1" applyFont="1" applyBorder="1"/>
    <xf numFmtId="41" fontId="0" fillId="0" borderId="18" xfId="0" applyNumberFormat="1" applyBorder="1"/>
    <xf numFmtId="41" fontId="0" fillId="0" borderId="18" xfId="0" applyNumberFormat="1" applyFont="1" applyBorder="1"/>
    <xf numFmtId="41" fontId="0" fillId="0" borderId="16" xfId="0" applyNumberFormat="1" applyFont="1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5" fillId="0" borderId="0" xfId="0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5" fillId="0" borderId="19" xfId="0" applyFont="1" applyBorder="1"/>
    <xf numFmtId="164" fontId="5" fillId="0" borderId="19" xfId="0" applyNumberFormat="1" applyFont="1" applyBorder="1"/>
    <xf numFmtId="0" fontId="16" fillId="0" borderId="0" xfId="0" applyFont="1" applyBorder="1" applyAlignment="1">
      <alignment horizontal="center"/>
    </xf>
    <xf numFmtId="0" fontId="17" fillId="0" borderId="24" xfId="0" applyNumberFormat="1" applyFont="1" applyFill="1" applyBorder="1" applyAlignment="1">
      <alignment vertical="top" wrapText="1" readingOrder="1"/>
    </xf>
    <xf numFmtId="3" fontId="0" fillId="0" borderId="0" xfId="0" applyNumberFormat="1"/>
    <xf numFmtId="0" fontId="17" fillId="0" borderId="43" xfId="0" applyNumberFormat="1" applyFont="1" applyFill="1" applyBorder="1" applyAlignment="1">
      <alignment horizontal="right" vertical="top" wrapText="1" readingOrder="1"/>
    </xf>
    <xf numFmtId="0" fontId="18" fillId="0" borderId="43" xfId="0" applyNumberFormat="1" applyFont="1" applyFill="1" applyBorder="1" applyAlignment="1">
      <alignment horizontal="right" vertical="top" wrapText="1" readingOrder="1"/>
    </xf>
    <xf numFmtId="0" fontId="17" fillId="0" borderId="26" xfId="0" applyNumberFormat="1" applyFont="1" applyFill="1" applyBorder="1" applyAlignment="1">
      <alignment vertical="top" wrapText="1" readingOrder="1"/>
    </xf>
    <xf numFmtId="0" fontId="17" fillId="0" borderId="24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0" fontId="18" fillId="0" borderId="22" xfId="0" applyNumberFormat="1" applyFont="1" applyFill="1" applyBorder="1" applyAlignment="1">
      <alignment vertical="top" wrapText="1" readingOrder="1"/>
    </xf>
    <xf numFmtId="0" fontId="18" fillId="0" borderId="24" xfId="0" applyNumberFormat="1" applyFont="1" applyFill="1" applyBorder="1" applyAlignment="1">
      <alignment horizontal="right" vertical="top" wrapText="1" readingOrder="1"/>
    </xf>
    <xf numFmtId="0" fontId="18" fillId="0" borderId="20" xfId="0" applyNumberFormat="1" applyFont="1" applyFill="1" applyBorder="1" applyAlignment="1">
      <alignment vertical="top" wrapText="1" readingOrder="1"/>
    </xf>
    <xf numFmtId="0" fontId="18" fillId="0" borderId="21" xfId="0" applyNumberFormat="1" applyFont="1" applyFill="1" applyBorder="1" applyAlignment="1">
      <alignment vertical="top" wrapText="1" readingOrder="1"/>
    </xf>
    <xf numFmtId="0" fontId="43" fillId="0" borderId="1" xfId="0" applyNumberFormat="1" applyFont="1" applyFill="1" applyBorder="1" applyAlignment="1">
      <alignment horizontal="right" vertical="top" wrapText="1" readingOrder="1"/>
    </xf>
    <xf numFmtId="0" fontId="12" fillId="0" borderId="1" xfId="0" applyFont="1" applyBorder="1" applyAlignment="1">
      <alignment horizontal="right" vertical="center"/>
    </xf>
    <xf numFmtId="0" fontId="44" fillId="0" borderId="1" xfId="0" applyFont="1" applyBorder="1" applyAlignment="1">
      <alignment horizontal="right" vertical="center"/>
    </xf>
    <xf numFmtId="9" fontId="4" fillId="0" borderId="0" xfId="65" applyFont="1"/>
    <xf numFmtId="3" fontId="6" fillId="33" borderId="28" xfId="0" applyNumberFormat="1" applyFont="1" applyFill="1" applyBorder="1"/>
    <xf numFmtId="3" fontId="6" fillId="33" borderId="1" xfId="0" applyNumberFormat="1" applyFont="1" applyFill="1" applyBorder="1"/>
    <xf numFmtId="3" fontId="6" fillId="33" borderId="30" xfId="0" applyNumberFormat="1" applyFont="1" applyFill="1" applyBorder="1"/>
    <xf numFmtId="3" fontId="6" fillId="3" borderId="1" xfId="0" applyNumberFormat="1" applyFont="1" applyFill="1" applyBorder="1"/>
    <xf numFmtId="3" fontId="6" fillId="3" borderId="3" xfId="0" applyNumberFormat="1" applyFont="1" applyFill="1" applyBorder="1"/>
    <xf numFmtId="3" fontId="6" fillId="3" borderId="28" xfId="0" applyNumberFormat="1" applyFont="1" applyFill="1" applyBorder="1"/>
    <xf numFmtId="3" fontId="6" fillId="3" borderId="29" xfId="0" applyNumberFormat="1" applyFont="1" applyFill="1" applyBorder="1"/>
    <xf numFmtId="3" fontId="6" fillId="3" borderId="10" xfId="0" applyNumberFormat="1" applyFont="1" applyFill="1" applyBorder="1"/>
    <xf numFmtId="3" fontId="6" fillId="3" borderId="30" xfId="0" applyNumberFormat="1" applyFont="1" applyFill="1" applyBorder="1"/>
    <xf numFmtId="3" fontId="6" fillId="3" borderId="12" xfId="0" applyNumberFormat="1" applyFont="1" applyFill="1" applyBorder="1"/>
    <xf numFmtId="3" fontId="6" fillId="3" borderId="4" xfId="0" applyNumberFormat="1" applyFont="1" applyFill="1" applyBorder="1"/>
    <xf numFmtId="3" fontId="7" fillId="3" borderId="8" xfId="0" applyNumberFormat="1" applyFont="1" applyFill="1" applyBorder="1"/>
    <xf numFmtId="3" fontId="7" fillId="3" borderId="31" xfId="0" applyNumberFormat="1" applyFont="1" applyFill="1" applyBorder="1"/>
    <xf numFmtId="166" fontId="4" fillId="34" borderId="1" xfId="1" applyNumberFormat="1" applyFont="1" applyFill="1" applyBorder="1"/>
    <xf numFmtId="166" fontId="4" fillId="3" borderId="0" xfId="0" applyNumberFormat="1" applyFont="1" applyFill="1" applyBorder="1"/>
    <xf numFmtId="0" fontId="4" fillId="3" borderId="0" xfId="0" applyFont="1" applyFill="1" applyBorder="1"/>
    <xf numFmtId="164" fontId="4" fillId="3" borderId="0" xfId="0" applyNumberFormat="1" applyFont="1" applyFill="1" applyBorder="1"/>
    <xf numFmtId="0" fontId="3" fillId="6" borderId="3" xfId="0" applyFont="1" applyFill="1" applyBorder="1" applyAlignment="1">
      <alignment wrapText="1"/>
    </xf>
    <xf numFmtId="9" fontId="3" fillId="6" borderId="3" xfId="0" applyNumberFormat="1" applyFont="1" applyFill="1" applyBorder="1"/>
    <xf numFmtId="0" fontId="3" fillId="6" borderId="3" xfId="0" applyFont="1" applyFill="1" applyBorder="1"/>
    <xf numFmtId="0" fontId="44" fillId="0" borderId="1" xfId="0" applyFont="1" applyBorder="1" applyAlignment="1">
      <alignment vertical="center"/>
    </xf>
    <xf numFmtId="166" fontId="4" fillId="4" borderId="1" xfId="1" applyNumberFormat="1" applyFont="1" applyFill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4" fillId="0" borderId="0" xfId="0" applyFont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41" fontId="5" fillId="0" borderId="49" xfId="0" applyNumberFormat="1" applyFont="1" applyBorder="1"/>
    <xf numFmtId="0" fontId="47" fillId="0" borderId="0" xfId="0" applyFont="1"/>
    <xf numFmtId="0" fontId="48" fillId="0" borderId="0" xfId="0" applyFont="1"/>
    <xf numFmtId="0" fontId="13" fillId="0" borderId="16" xfId="45" applyBorder="1"/>
    <xf numFmtId="0" fontId="37" fillId="0" borderId="16" xfId="45" applyFont="1" applyBorder="1" applyAlignment="1">
      <alignment horizontal="center"/>
    </xf>
    <xf numFmtId="0" fontId="13" fillId="0" borderId="0" xfId="66"/>
    <xf numFmtId="0" fontId="13" fillId="0" borderId="0" xfId="45"/>
    <xf numFmtId="3" fontId="13" fillId="0" borderId="0" xfId="45" applyNumberFormat="1"/>
    <xf numFmtId="0" fontId="37" fillId="0" borderId="19" xfId="45" applyFont="1" applyBorder="1"/>
    <xf numFmtId="0" fontId="13" fillId="0" borderId="19" xfId="45" applyBorder="1"/>
    <xf numFmtId="3" fontId="37" fillId="0" borderId="19" xfId="45" applyNumberFormat="1" applyFont="1" applyBorder="1"/>
    <xf numFmtId="0" fontId="37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16" xfId="45" applyFont="1" applyBorder="1" applyAlignment="1">
      <alignment horizontal="center"/>
    </xf>
    <xf numFmtId="0" fontId="51" fillId="0" borderId="16" xfId="0" applyFont="1" applyBorder="1"/>
    <xf numFmtId="0" fontId="37" fillId="0" borderId="0" xfId="66" applyFont="1"/>
    <xf numFmtId="0" fontId="11" fillId="3" borderId="1" xfId="0" applyFont="1" applyFill="1" applyBorder="1"/>
    <xf numFmtId="0" fontId="54" fillId="3" borderId="1" xfId="0" applyFont="1" applyFill="1" applyBorder="1"/>
    <xf numFmtId="167" fontId="4" fillId="35" borderId="1" xfId="0" applyNumberFormat="1" applyFont="1" applyFill="1" applyBorder="1"/>
    <xf numFmtId="0" fontId="55" fillId="3" borderId="1" xfId="0" applyFont="1" applyFill="1" applyBorder="1"/>
    <xf numFmtId="0" fontId="3" fillId="36" borderId="1" xfId="0" applyFont="1" applyFill="1" applyBorder="1" applyAlignment="1">
      <alignment wrapText="1"/>
    </xf>
    <xf numFmtId="167" fontId="4" fillId="36" borderId="1" xfId="0" applyNumberFormat="1" applyFont="1" applyFill="1" applyBorder="1"/>
    <xf numFmtId="0" fontId="4" fillId="0" borderId="1" xfId="0" applyFont="1" applyBorder="1" applyAlignment="1">
      <alignment horizontal="center" vertical="top" wrapText="1"/>
    </xf>
    <xf numFmtId="0" fontId="18" fillId="0" borderId="50" xfId="0" applyNumberFormat="1" applyFont="1" applyFill="1" applyBorder="1" applyAlignment="1">
      <alignment vertical="top" wrapText="1" readingOrder="1"/>
    </xf>
    <xf numFmtId="0" fontId="18" fillId="0" borderId="25" xfId="0" applyNumberFormat="1" applyFont="1" applyFill="1" applyBorder="1" applyAlignment="1">
      <alignment horizontal="right" vertical="top" wrapText="1" readingOrder="1"/>
    </xf>
    <xf numFmtId="0" fontId="18" fillId="0" borderId="21" xfId="0" applyNumberFormat="1" applyFont="1" applyFill="1" applyBorder="1" applyAlignment="1">
      <alignment horizontal="right" vertical="top" wrapText="1" readingOrder="1"/>
    </xf>
    <xf numFmtId="167" fontId="4" fillId="3" borderId="1" xfId="0" applyNumberFormat="1" applyFont="1" applyFill="1" applyBorder="1" applyAlignment="1">
      <alignment vertical="top" wrapText="1" readingOrder="1"/>
    </xf>
    <xf numFmtId="167" fontId="4" fillId="3" borderId="1" xfId="0" applyNumberFormat="1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7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 vertical="top" wrapText="1" readingOrder="1"/>
    </xf>
    <xf numFmtId="167" fontId="4" fillId="37" borderId="1" xfId="0" applyNumberFormat="1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center" wrapText="1"/>
    </xf>
    <xf numFmtId="0" fontId="55" fillId="34" borderId="1" xfId="0" applyFont="1" applyFill="1" applyBorder="1"/>
    <xf numFmtId="0" fontId="54" fillId="34" borderId="1" xfId="0" applyFont="1" applyFill="1" applyBorder="1"/>
    <xf numFmtId="0" fontId="3" fillId="3" borderId="9" xfId="0" applyFont="1" applyFill="1" applyBorder="1" applyAlignment="1">
      <alignment horizontal="right"/>
    </xf>
    <xf numFmtId="0" fontId="56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167" fontId="54" fillId="3" borderId="10" xfId="0" applyNumberFormat="1" applyFont="1" applyFill="1" applyBorder="1" applyAlignment="1">
      <alignment horizontal="right"/>
    </xf>
    <xf numFmtId="0" fontId="4" fillId="3" borderId="9" xfId="0" applyNumberFormat="1" applyFont="1" applyFill="1" applyBorder="1" applyAlignment="1">
      <alignment horizontal="left" vertical="top" wrapText="1" readingOrder="1"/>
    </xf>
    <xf numFmtId="167" fontId="54" fillId="37" borderId="10" xfId="0" applyNumberFormat="1" applyFont="1" applyFill="1" applyBorder="1" applyAlignment="1">
      <alignment horizontal="right" vertical="top" wrapText="1" readingOrder="1"/>
    </xf>
    <xf numFmtId="167" fontId="54" fillId="3" borderId="10" xfId="0" applyNumberFormat="1" applyFont="1" applyFill="1" applyBorder="1" applyAlignment="1">
      <alignment horizontal="right" vertical="top" wrapText="1" readingOrder="1"/>
    </xf>
    <xf numFmtId="0" fontId="4" fillId="3" borderId="11" xfId="0" applyNumberFormat="1" applyFont="1" applyFill="1" applyBorder="1" applyAlignment="1">
      <alignment horizontal="left" vertical="top" wrapText="1" readingOrder="1"/>
    </xf>
    <xf numFmtId="0" fontId="4" fillId="3" borderId="30" xfId="0" applyNumberFormat="1" applyFont="1" applyFill="1" applyBorder="1" applyAlignment="1">
      <alignment horizontal="right" vertical="top" wrapText="1" readingOrder="1"/>
    </xf>
    <xf numFmtId="167" fontId="4" fillId="3" borderId="30" xfId="0" applyNumberFormat="1" applyFont="1" applyFill="1" applyBorder="1" applyAlignment="1">
      <alignment horizontal="right" vertical="top" wrapText="1" readingOrder="1"/>
    </xf>
    <xf numFmtId="167" fontId="54" fillId="3" borderId="12" xfId="0" applyNumberFormat="1" applyFont="1" applyFill="1" applyBorder="1" applyAlignment="1">
      <alignment horizontal="right" vertical="top" wrapText="1" readingOrder="1"/>
    </xf>
    <xf numFmtId="167" fontId="4" fillId="3" borderId="1" xfId="0" applyNumberFormat="1" applyFont="1" applyFill="1" applyBorder="1" applyAlignment="1"/>
    <xf numFmtId="167" fontId="4" fillId="3" borderId="30" xfId="0" applyNumberFormat="1" applyFont="1" applyFill="1" applyBorder="1" applyAlignment="1">
      <alignment vertical="top" wrapText="1" readingOrder="1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</cellXfs>
  <cellStyles count="67">
    <cellStyle name="20% - Accent1" xfId="3" xr:uid="{7A136828-B724-48F8-AEDD-618B94F1D2AE}"/>
    <cellStyle name="20% - Accent2" xfId="4" xr:uid="{36E1024E-77FD-41F0-A939-C7F6B4110AD3}"/>
    <cellStyle name="20% - Accent3" xfId="5" xr:uid="{9EA6E534-DE48-48DB-AC97-11CBC46639E0}"/>
    <cellStyle name="20% - Accent4" xfId="6" xr:uid="{21ABADAF-F0A4-44D0-8AC8-16411ECC383C}"/>
    <cellStyle name="20% - Accent5" xfId="7" xr:uid="{1A4F4CC1-8E56-4689-874D-8E6DC7919AD0}"/>
    <cellStyle name="20% - Accent6" xfId="8" xr:uid="{B30780D5-99DF-40CA-9417-7202D6639B97}"/>
    <cellStyle name="40% - Accent1" xfId="9" xr:uid="{03B504E7-3B46-4B6E-AB26-DDE9689C44D5}"/>
    <cellStyle name="40% - Accent2" xfId="10" xr:uid="{04387146-ECC0-4477-9263-43011E8833A0}"/>
    <cellStyle name="40% - Accent3" xfId="11" xr:uid="{7981A8B8-7C84-4F84-A360-FA8F4A9098EC}"/>
    <cellStyle name="40% - Accent4" xfId="12" xr:uid="{C60D2C5F-16C6-4240-B627-CA303EFA3D3F}"/>
    <cellStyle name="40% - Accent5" xfId="13" xr:uid="{684B8693-D883-4448-9CCA-B63B3429AE1F}"/>
    <cellStyle name="40% - Accent6" xfId="14" xr:uid="{90D04611-1835-4353-A3EE-D8880FB3D8E0}"/>
    <cellStyle name="60% - Accent1" xfId="15" xr:uid="{66774B6C-45A7-4A15-9043-FE2CD782086A}"/>
    <cellStyle name="60% - Accent2" xfId="16" xr:uid="{1F631431-728F-4B9F-A6B2-66F563652F92}"/>
    <cellStyle name="60% - Accent3" xfId="17" xr:uid="{CA468981-C82D-4C77-8F5E-7B04DD285A44}"/>
    <cellStyle name="60% - Accent4" xfId="18" xr:uid="{0F983667-CB08-48A4-9E65-79A7C6D6BE0E}"/>
    <cellStyle name="60% - Accent5" xfId="19" xr:uid="{986E9114-9CBF-451B-905C-46A459556DA6}"/>
    <cellStyle name="60% - Accent6" xfId="20" xr:uid="{2B6E998C-C1E0-4516-8C08-9E3C5386DFE8}"/>
    <cellStyle name="Accent1" xfId="21" xr:uid="{EF5C3970-A208-426B-8A1D-224DD34AC413}"/>
    <cellStyle name="Accent2" xfId="22" xr:uid="{CCB3A043-A675-455E-9FA5-C110407657C0}"/>
    <cellStyle name="Accent3" xfId="23" xr:uid="{EB736C3A-519E-4A5D-B72E-6BDF9EAEEB19}"/>
    <cellStyle name="Accent4" xfId="24" xr:uid="{B3E93347-3BD8-40BA-A375-47BF29F42EFD}"/>
    <cellStyle name="Accent5" xfId="25" xr:uid="{7986D2FF-A1B9-44E8-ABAF-080018BD6C09}"/>
    <cellStyle name="Accent6" xfId="26" xr:uid="{74814D68-F2E4-4063-9115-1F9E5E318B87}"/>
    <cellStyle name="Bad" xfId="27" xr:uid="{EC25C6FB-0B05-48BE-95E2-BE59FF06A9EF}"/>
    <cellStyle name="Calculation" xfId="28" xr:uid="{D9B969A6-20A0-4A3A-97EE-BEC374F8B0F0}"/>
    <cellStyle name="Check Cell" xfId="29" xr:uid="{3BA60EAF-483C-4824-B3A1-C530462578F1}"/>
    <cellStyle name="Dato" xfId="30" xr:uid="{593BD506-D57E-4AA1-A809-EE2557EE3000}"/>
    <cellStyle name="Explanatory Text" xfId="31" xr:uid="{47755DD1-7BE9-4863-A128-E6538262A1F1}"/>
    <cellStyle name="Good" xfId="32" xr:uid="{0660D9A5-FB15-4B35-9830-4825009D64E8}"/>
    <cellStyle name="Heading 1" xfId="33" xr:uid="{F3A39D30-4A9F-4389-AD66-C5372AB0BC80}"/>
    <cellStyle name="Heading 2" xfId="34" xr:uid="{124E4D09-5776-4760-90E1-0AAA4CEE56C6}"/>
    <cellStyle name="Heading 3" xfId="35" xr:uid="{A2EC7D4C-DAA2-416F-AD8F-34D15406B7AF}"/>
    <cellStyle name="Heading 4" xfId="36" xr:uid="{3732D93C-96ED-46D7-B2FE-B3B1A70F73C0}"/>
    <cellStyle name="Hyperkobling 2 2 2" xfId="37" xr:uid="{96F16D84-8C9F-423D-973E-5CD3BB10BF59}"/>
    <cellStyle name="Input" xfId="38" xr:uid="{54C4AFDD-4F6D-4BC0-85EE-64FC3CB282E2}"/>
    <cellStyle name="Komma" xfId="1" builtinId="3"/>
    <cellStyle name="Komma 2" xfId="39" xr:uid="{5E4BA5D5-3272-4884-B709-1840A9827611}"/>
    <cellStyle name="Konto" xfId="40" xr:uid="{0C68737A-33D9-41C2-A3C7-5B036B91F6B9}"/>
    <cellStyle name="Linked Cell" xfId="41" xr:uid="{1E65C259-D879-43A6-B03B-41029591BC28}"/>
    <cellStyle name="Navn" xfId="42" xr:uid="{D0F338C2-FE59-4516-9A21-06E475A7B0E2}"/>
    <cellStyle name="Navn 2" xfId="43" xr:uid="{51B5CEBB-F1EE-4CB4-9114-8ABF9E874000}"/>
    <cellStyle name="Neutral" xfId="44" xr:uid="{8246F113-ED3F-46A2-9058-1E43A679995F}"/>
    <cellStyle name="Normal" xfId="0" builtinId="0"/>
    <cellStyle name="Normal 2" xfId="45" xr:uid="{4B93C54B-843C-4967-9F19-E82B6218ECEE}"/>
    <cellStyle name="Normal 2 2" xfId="46" xr:uid="{DB8B31B9-533C-462F-A36E-E093636FA93E}"/>
    <cellStyle name="Normal 3" xfId="47" xr:uid="{097023AA-3C05-488E-8E61-33309E6560D2}"/>
    <cellStyle name="Normal 3 2" xfId="48" xr:uid="{ACBF21D7-9045-49F6-9438-8B45CA6B9080}"/>
    <cellStyle name="Normal 4" xfId="49" xr:uid="{C069EEA1-2437-4FE4-9247-B5C116D40F79}"/>
    <cellStyle name="Normal 5" xfId="50" xr:uid="{8D5D2A5C-6FF0-4D87-BB2F-AFE19C1AF61E}"/>
    <cellStyle name="Normal 6" xfId="64" xr:uid="{C7B335E8-4597-4A1C-81EE-094D009090D4}"/>
    <cellStyle name="Normal_Noter" xfId="66" xr:uid="{F09533F6-6754-4E4B-A725-40FA1FC05BF3}"/>
    <cellStyle name="Note" xfId="51" xr:uid="{CB0ADA11-E29B-4D1C-A7C7-1916A724953A}"/>
    <cellStyle name="Output" xfId="52" xr:uid="{A39AA507-F5AD-48B7-810A-6A3FE7DAEACC}"/>
    <cellStyle name="Overskrift" xfId="53" xr:uid="{4D7C01AD-7670-42D9-A45D-C44A37DB0B64}"/>
    <cellStyle name="Prosent" xfId="65" builtinId="5"/>
    <cellStyle name="Prosent 2" xfId="54" xr:uid="{6B7A5757-D262-4E25-9D84-35C99AA74981}"/>
    <cellStyle name="Rapport" xfId="55" xr:uid="{E872EC2C-6E60-4C51-A30C-675790D5338E}"/>
    <cellStyle name="Rapport 2" xfId="56" xr:uid="{1AD6C038-32DD-4282-81A9-9A6E5E4D51E2}"/>
    <cellStyle name="Sum" xfId="57" xr:uid="{0FBE758A-10AB-49A4-851B-6A51E0D71CAD}"/>
    <cellStyle name="Tall" xfId="58" xr:uid="{DF5A1FA8-3C1F-4E76-B173-A78E94842F20}"/>
    <cellStyle name="Title" xfId="59" xr:uid="{ECB85359-A010-4E68-95E1-009B417AD6B0}"/>
    <cellStyle name="Total" xfId="60" xr:uid="{DD729547-6B1D-4B9E-9293-56E8932A8663}"/>
    <cellStyle name="Tusenskille 2" xfId="61" xr:uid="{31310387-EF5E-43CE-BCD3-FC652698393B}"/>
    <cellStyle name="Tusenskille 2 2" xfId="62" xr:uid="{31A027F9-30DD-4BF2-8B59-99710020A8C8}"/>
    <cellStyle name="Tusenskille 3" xfId="2" xr:uid="{00000000-0005-0000-0000-000002000000}"/>
    <cellStyle name="Warning Text" xfId="63" xr:uid="{7623A231-F4D3-4D31-ADB9-B427216EF4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18</xdr:row>
      <xdr:rowOff>0</xdr:rowOff>
    </xdr:from>
    <xdr:to>
      <xdr:col>5</xdr:col>
      <xdr:colOff>370713</xdr:colOff>
      <xdr:row>27</xdr:row>
      <xdr:rowOff>83820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E5A4AD7-A21B-41EE-91B4-5B4E39B3E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3914775"/>
          <a:ext cx="1694688" cy="1798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il.Vik\AppData\Local\Microsoft\Windows\INetCache\Content.Outlook\R2FADO6S\&#197;rsregnskap%20Oslo%20Skikrets%202019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sultat"/>
      <sheetName val="Ark2"/>
      <sheetName val="Balanse"/>
      <sheetName val="Noter"/>
      <sheetName val="Avdelingsrapport"/>
      <sheetName val="Ark1"/>
      <sheetName val="Ark4"/>
      <sheetName val="Ark5"/>
    </sheetNames>
    <sheetDataSet>
      <sheetData sheetId="0"/>
      <sheetData sheetId="1"/>
      <sheetData sheetId="2">
        <row r="7">
          <cell r="B7">
            <v>-1200000</v>
          </cell>
        </row>
        <row r="15">
          <cell r="E15">
            <v>-2250203</v>
          </cell>
        </row>
        <row r="28">
          <cell r="E28">
            <v>-4460350</v>
          </cell>
        </row>
        <row r="47">
          <cell r="B47">
            <v>1659143</v>
          </cell>
        </row>
        <row r="88">
          <cell r="F88">
            <v>1684751</v>
          </cell>
        </row>
        <row r="93">
          <cell r="F93">
            <v>4743213</v>
          </cell>
        </row>
        <row r="102">
          <cell r="B102">
            <v>-24891</v>
          </cell>
        </row>
      </sheetData>
      <sheetData sheetId="3">
        <row r="25">
          <cell r="F25">
            <v>3240295</v>
          </cell>
        </row>
        <row r="26">
          <cell r="F26">
            <v>58436</v>
          </cell>
        </row>
        <row r="30">
          <cell r="F30">
            <v>1466928</v>
          </cell>
        </row>
        <row r="31">
          <cell r="F31">
            <v>-210099</v>
          </cell>
        </row>
      </sheetData>
      <sheetData sheetId="4"/>
      <sheetData sheetId="5"/>
      <sheetData sheetId="6"/>
      <sheetData sheetId="7">
        <row r="21">
          <cell r="L21">
            <v>0</v>
          </cell>
        </row>
      </sheetData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oril Vik" id="{83E7337A-12F2-49A7-953D-19B95A67D402}" userId="S::Toril.Vik@skiforbundet.no::394aad49-7966-44f1-8a3f-90e84b0c241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0-05-25T12:08:30.98" personId="{83E7337A-12F2-49A7-953D-19B95A67D402}" id="{F8AEECFC-C446-47E6-854A-14133AAF8EC3}">
    <text>Tilføring fra EK styret til fordeling overskudd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E7BD-0F63-4F19-A627-469B4D324FF8}">
  <dimension ref="A1:M88"/>
  <sheetViews>
    <sheetView workbookViewId="0">
      <selection activeCell="G35" sqref="G35"/>
    </sheetView>
  </sheetViews>
  <sheetFormatPr baseColWidth="10" defaultColWidth="11.42578125" defaultRowHeight="15" x14ac:dyDescent="0.25"/>
  <cols>
    <col min="1" max="1" width="34.85546875" style="42" customWidth="1"/>
    <col min="2" max="2" width="17.85546875" style="42" customWidth="1"/>
    <col min="3" max="3" width="14.85546875" style="42" customWidth="1"/>
    <col min="4" max="4" width="13.42578125" style="42" customWidth="1"/>
    <col min="5" max="6" width="11.42578125" style="42"/>
    <col min="7" max="7" width="21.28515625" style="42" customWidth="1"/>
    <col min="8" max="16384" width="11.42578125" style="42"/>
  </cols>
  <sheetData>
    <row r="1" spans="1:10" x14ac:dyDescent="0.25">
      <c r="A1" s="51" t="s">
        <v>122</v>
      </c>
      <c r="B1" s="32"/>
      <c r="C1" s="31"/>
      <c r="D1" s="31"/>
    </row>
    <row r="2" spans="1:10" x14ac:dyDescent="0.25">
      <c r="A2" s="32"/>
      <c r="B2" s="52"/>
      <c r="C2" s="31"/>
      <c r="D2" s="31"/>
    </row>
    <row r="3" spans="1:10" x14ac:dyDescent="0.25">
      <c r="A3" s="51"/>
      <c r="B3" s="53" t="s">
        <v>123</v>
      </c>
      <c r="C3" s="54" t="s">
        <v>124</v>
      </c>
      <c r="D3" s="53" t="s">
        <v>125</v>
      </c>
      <c r="H3" s="33"/>
    </row>
    <row r="4" spans="1:10" x14ac:dyDescent="0.25">
      <c r="A4" s="51" t="s">
        <v>30</v>
      </c>
      <c r="B4" s="33"/>
      <c r="C4" s="36"/>
      <c r="D4" s="31"/>
    </row>
    <row r="5" spans="1:10" x14ac:dyDescent="0.25">
      <c r="A5" s="32" t="s">
        <v>71</v>
      </c>
      <c r="B5" s="61">
        <v>-39466</v>
      </c>
      <c r="C5" s="60">
        <v>0</v>
      </c>
      <c r="D5" s="60">
        <v>-39466</v>
      </c>
      <c r="F5" s="40"/>
      <c r="G5" s="13" t="s">
        <v>148</v>
      </c>
      <c r="H5" s="62">
        <v>35045</v>
      </c>
      <c r="I5" s="40">
        <v>604501.85</v>
      </c>
      <c r="J5" s="40">
        <f>I5-H5</f>
        <v>569456.85</v>
      </c>
    </row>
    <row r="6" spans="1:10" x14ac:dyDescent="0.25">
      <c r="A6" s="32" t="s">
        <v>31</v>
      </c>
      <c r="B6" s="61">
        <v>-13720.96</v>
      </c>
      <c r="C6" s="60">
        <v>172344</v>
      </c>
      <c r="D6" s="60">
        <v>158623.04000000001</v>
      </c>
      <c r="F6" s="40">
        <f>B6+B7+B5+B43+B44</f>
        <v>-53186.96</v>
      </c>
      <c r="G6" s="13" t="s">
        <v>149</v>
      </c>
      <c r="H6" s="62">
        <f>53187+30</f>
        <v>53217</v>
      </c>
      <c r="I6" s="40">
        <v>408263.55</v>
      </c>
      <c r="J6" s="40">
        <f>I6-H6</f>
        <v>355046.55</v>
      </c>
    </row>
    <row r="7" spans="1:10" x14ac:dyDescent="0.25">
      <c r="A7" s="32" t="s">
        <v>32</v>
      </c>
      <c r="B7" s="61">
        <v>0</v>
      </c>
      <c r="C7" s="60">
        <v>33501.99</v>
      </c>
      <c r="D7" s="60">
        <v>33501.99</v>
      </c>
      <c r="F7" s="40">
        <f>D9</f>
        <v>-238941</v>
      </c>
      <c r="G7" s="13" t="s">
        <v>150</v>
      </c>
      <c r="H7" s="62">
        <v>238941</v>
      </c>
      <c r="I7" s="62">
        <v>0</v>
      </c>
      <c r="J7" s="62"/>
    </row>
    <row r="8" spans="1:10" x14ac:dyDescent="0.25">
      <c r="A8" s="32" t="s">
        <v>33</v>
      </c>
      <c r="B8" s="61">
        <v>0</v>
      </c>
      <c r="C8" s="60">
        <v>7247.6</v>
      </c>
      <c r="D8" s="60">
        <v>7247.6</v>
      </c>
      <c r="F8" s="40">
        <f>B10+B11+B12+B13+B15</f>
        <v>-1567551.6600000001</v>
      </c>
      <c r="G8" s="13" t="s">
        <v>151</v>
      </c>
      <c r="H8" s="62">
        <v>1567522</v>
      </c>
      <c r="I8" s="40">
        <v>859955.6</v>
      </c>
      <c r="J8" s="40">
        <f>I8-H8</f>
        <v>-707566.4</v>
      </c>
    </row>
    <row r="9" spans="1:10" x14ac:dyDescent="0.25">
      <c r="A9" s="32" t="s">
        <v>34</v>
      </c>
      <c r="B9" s="61">
        <v>-238941</v>
      </c>
      <c r="C9" s="60">
        <v>0</v>
      </c>
      <c r="D9" s="60">
        <v>-238941</v>
      </c>
      <c r="F9" s="40">
        <f>D8</f>
        <v>7247.6</v>
      </c>
      <c r="G9" s="13" t="s">
        <v>152</v>
      </c>
      <c r="H9" s="62">
        <v>0</v>
      </c>
      <c r="I9" s="40">
        <v>7248</v>
      </c>
      <c r="J9" s="62"/>
    </row>
    <row r="10" spans="1:10" x14ac:dyDescent="0.25">
      <c r="A10" s="32" t="s">
        <v>35</v>
      </c>
      <c r="B10" s="61">
        <v>-46416.66</v>
      </c>
      <c r="C10" s="60">
        <v>8600</v>
      </c>
      <c r="D10" s="60">
        <v>-37816.660000000003</v>
      </c>
      <c r="F10" s="40">
        <f>B17+B18+B30+B31</f>
        <v>-69936</v>
      </c>
      <c r="G10" s="13" t="s">
        <v>153</v>
      </c>
      <c r="H10" s="62">
        <v>69936</v>
      </c>
      <c r="I10" s="40">
        <v>187218.2</v>
      </c>
      <c r="J10" s="62"/>
    </row>
    <row r="11" spans="1:10" x14ac:dyDescent="0.25">
      <c r="A11" s="32" t="s">
        <v>36</v>
      </c>
      <c r="B11" s="61">
        <v>-541915</v>
      </c>
      <c r="C11" s="60">
        <v>0</v>
      </c>
      <c r="D11" s="60">
        <v>-541915</v>
      </c>
      <c r="F11" s="40">
        <f>B20+B23+B24+B27+B32+B35</f>
        <v>-537150</v>
      </c>
      <c r="G11" s="13" t="s">
        <v>154</v>
      </c>
      <c r="H11" s="62">
        <v>537150</v>
      </c>
      <c r="I11" s="62">
        <v>0</v>
      </c>
      <c r="J11" s="62"/>
    </row>
    <row r="12" spans="1:10" x14ac:dyDescent="0.25">
      <c r="A12" s="32" t="s">
        <v>37</v>
      </c>
      <c r="B12" s="61">
        <v>-600000</v>
      </c>
      <c r="C12" s="60">
        <v>600000</v>
      </c>
      <c r="D12" s="60">
        <v>0</v>
      </c>
      <c r="F12" s="40">
        <f>D21+D25+D28+D33</f>
        <v>53591.22</v>
      </c>
      <c r="G12" s="13" t="s">
        <v>155</v>
      </c>
      <c r="H12" s="62">
        <v>0</v>
      </c>
      <c r="I12" s="62">
        <v>53591</v>
      </c>
      <c r="J12" s="62"/>
    </row>
    <row r="13" spans="1:10" x14ac:dyDescent="0.25">
      <c r="A13" s="32" t="s">
        <v>38</v>
      </c>
      <c r="B13" s="61">
        <v>-379220</v>
      </c>
      <c r="C13" s="60">
        <v>0</v>
      </c>
      <c r="D13" s="60">
        <v>-379220</v>
      </c>
      <c r="F13" s="40"/>
      <c r="G13" s="13" t="s">
        <v>156</v>
      </c>
      <c r="H13" s="62">
        <v>0</v>
      </c>
      <c r="I13" s="40">
        <v>53607.199999999997</v>
      </c>
      <c r="J13" s="62"/>
    </row>
    <row r="14" spans="1:10" x14ac:dyDescent="0.25">
      <c r="A14" s="32" t="s">
        <v>39</v>
      </c>
      <c r="B14" s="61">
        <v>-114600</v>
      </c>
      <c r="C14" s="60">
        <v>11310</v>
      </c>
      <c r="D14" s="60">
        <v>-103290</v>
      </c>
      <c r="F14" s="40">
        <f>B52</f>
        <v>-201066</v>
      </c>
      <c r="G14" s="13" t="s">
        <v>60</v>
      </c>
      <c r="H14" s="62">
        <v>201066</v>
      </c>
      <c r="I14" s="40">
        <v>202916.01</v>
      </c>
      <c r="J14" s="62"/>
    </row>
    <row r="15" spans="1:10" x14ac:dyDescent="0.25">
      <c r="A15" s="32" t="s">
        <v>40</v>
      </c>
      <c r="B15" s="61">
        <v>0</v>
      </c>
      <c r="C15" s="60">
        <v>251355.6</v>
      </c>
      <c r="D15" s="60">
        <v>251355.6</v>
      </c>
      <c r="F15" s="62">
        <v>0</v>
      </c>
      <c r="G15" s="13" t="s">
        <v>157</v>
      </c>
      <c r="H15" s="62"/>
      <c r="I15" s="40"/>
      <c r="J15" s="62"/>
    </row>
    <row r="16" spans="1:10" x14ac:dyDescent="0.25">
      <c r="A16" s="32" t="s">
        <v>41</v>
      </c>
      <c r="B16" s="61">
        <v>0</v>
      </c>
      <c r="C16" s="60">
        <v>22021.200000000001</v>
      </c>
      <c r="D16" s="60">
        <v>22021.200000000001</v>
      </c>
      <c r="F16" s="40">
        <f>D55</f>
        <v>9375</v>
      </c>
      <c r="G16" s="13" t="s">
        <v>136</v>
      </c>
      <c r="H16" s="62">
        <v>4500</v>
      </c>
      <c r="I16" s="62">
        <v>13875</v>
      </c>
      <c r="J16" s="62"/>
    </row>
    <row r="17" spans="1:13" x14ac:dyDescent="0.25">
      <c r="A17" s="32" t="s">
        <v>42</v>
      </c>
      <c r="B17" s="61">
        <v>-9000</v>
      </c>
      <c r="C17" s="60">
        <v>46238.2</v>
      </c>
      <c r="D17" s="60">
        <v>37238.199999999997</v>
      </c>
      <c r="F17" s="62">
        <v>0</v>
      </c>
      <c r="G17" s="13" t="s">
        <v>158</v>
      </c>
      <c r="H17" s="62"/>
      <c r="I17" s="62">
        <v>0</v>
      </c>
      <c r="J17" s="62"/>
    </row>
    <row r="18" spans="1:13" x14ac:dyDescent="0.25">
      <c r="A18" s="32" t="s">
        <v>72</v>
      </c>
      <c r="B18" s="61">
        <v>0</v>
      </c>
      <c r="C18" s="60">
        <v>49059.25</v>
      </c>
      <c r="D18" s="60">
        <v>49059.25</v>
      </c>
      <c r="F18" s="40">
        <f>B65</f>
        <v>-611961</v>
      </c>
      <c r="G18" s="13" t="s">
        <v>63</v>
      </c>
      <c r="H18" s="62">
        <v>611961</v>
      </c>
      <c r="I18" s="40">
        <v>557551.52</v>
      </c>
      <c r="J18" s="62"/>
    </row>
    <row r="19" spans="1:13" x14ac:dyDescent="0.25">
      <c r="A19" s="32" t="s">
        <v>43</v>
      </c>
      <c r="B19" s="61">
        <v>-207200</v>
      </c>
      <c r="C19" s="60">
        <v>273932.48</v>
      </c>
      <c r="D19" s="60">
        <v>66732.479999999996</v>
      </c>
      <c r="F19" s="40">
        <f>B68+B41</f>
        <v>-1615028.44</v>
      </c>
      <c r="G19" s="13" t="s">
        <v>69</v>
      </c>
      <c r="H19" s="62">
        <v>1615028</v>
      </c>
      <c r="I19" s="40">
        <v>1571024.51</v>
      </c>
      <c r="J19" s="62"/>
    </row>
    <row r="20" spans="1:13" x14ac:dyDescent="0.25">
      <c r="A20" s="32" t="s">
        <v>44</v>
      </c>
      <c r="B20" s="61">
        <v>-98490</v>
      </c>
      <c r="C20" s="60">
        <v>0</v>
      </c>
      <c r="D20" s="60">
        <v>-98490</v>
      </c>
      <c r="F20" s="40">
        <f>B79</f>
        <v>-1339780</v>
      </c>
      <c r="G20" s="13" t="s">
        <v>139</v>
      </c>
      <c r="H20" s="62">
        <v>1339780</v>
      </c>
      <c r="I20" s="40">
        <v>981489.41</v>
      </c>
      <c r="J20" s="62"/>
    </row>
    <row r="21" spans="1:13" x14ac:dyDescent="0.25">
      <c r="A21" s="32" t="s">
        <v>126</v>
      </c>
      <c r="B21" s="61">
        <v>0</v>
      </c>
      <c r="C21" s="61">
        <v>6068</v>
      </c>
      <c r="D21" s="60">
        <v>6068</v>
      </c>
      <c r="F21" s="62">
        <v>0</v>
      </c>
      <c r="G21" s="13" t="s">
        <v>159</v>
      </c>
      <c r="H21" s="62"/>
      <c r="I21" s="62"/>
      <c r="J21" s="62"/>
      <c r="M21" s="11" t="s">
        <v>163</v>
      </c>
    </row>
    <row r="22" spans="1:13" x14ac:dyDescent="0.25">
      <c r="A22" s="32" t="s">
        <v>45</v>
      </c>
      <c r="B22" s="61">
        <v>0</v>
      </c>
      <c r="C22" s="61">
        <v>7037</v>
      </c>
      <c r="D22" s="60">
        <v>7037</v>
      </c>
      <c r="F22" s="40">
        <f>B14</f>
        <v>-114600</v>
      </c>
      <c r="G22" s="13" t="s">
        <v>160</v>
      </c>
      <c r="H22" s="40">
        <v>114600</v>
      </c>
      <c r="I22" s="40">
        <v>11310</v>
      </c>
      <c r="J22" s="40">
        <f>I22-H22</f>
        <v>-103290</v>
      </c>
      <c r="M22" s="11" t="s">
        <v>164</v>
      </c>
    </row>
    <row r="23" spans="1:13" x14ac:dyDescent="0.25">
      <c r="A23" s="32" t="s">
        <v>127</v>
      </c>
      <c r="B23" s="61">
        <v>-620</v>
      </c>
      <c r="C23" s="61">
        <v>0</v>
      </c>
      <c r="D23" s="60">
        <v>-620</v>
      </c>
      <c r="F23" s="40">
        <f>B19</f>
        <v>-207200</v>
      </c>
      <c r="G23" s="13" t="s">
        <v>161</v>
      </c>
      <c r="H23" s="62">
        <v>207200</v>
      </c>
      <c r="I23" s="40">
        <v>273932.48</v>
      </c>
      <c r="J23" s="40">
        <f>I23-H23</f>
        <v>66732.479999999981</v>
      </c>
      <c r="M23" s="11" t="s">
        <v>174</v>
      </c>
    </row>
    <row r="24" spans="1:13" x14ac:dyDescent="0.25">
      <c r="A24" s="32" t="s">
        <v>46</v>
      </c>
      <c r="B24" s="61">
        <v>-14440</v>
      </c>
      <c r="C24" s="61">
        <v>0</v>
      </c>
      <c r="D24" s="60">
        <v>-14440</v>
      </c>
      <c r="F24" s="40">
        <f>D37</f>
        <v>102576.4</v>
      </c>
      <c r="G24" s="13" t="s">
        <v>162</v>
      </c>
      <c r="H24" s="62"/>
      <c r="I24" s="40">
        <v>102576.4</v>
      </c>
      <c r="J24" s="62"/>
      <c r="M24" s="11" t="s">
        <v>175</v>
      </c>
    </row>
    <row r="25" spans="1:13" x14ac:dyDescent="0.25">
      <c r="A25" s="32" t="s">
        <v>47</v>
      </c>
      <c r="B25" s="61">
        <v>0</v>
      </c>
      <c r="C25" s="61">
        <v>145</v>
      </c>
      <c r="D25" s="60">
        <v>145</v>
      </c>
      <c r="F25" s="40"/>
      <c r="G25" s="11" t="s">
        <v>163</v>
      </c>
      <c r="H25" s="62"/>
      <c r="I25" s="40"/>
      <c r="J25" s="62"/>
    </row>
    <row r="26" spans="1:13" x14ac:dyDescent="0.25">
      <c r="A26" s="32" t="s">
        <v>73</v>
      </c>
      <c r="B26" s="61">
        <v>0</v>
      </c>
      <c r="C26" s="61">
        <v>7166</v>
      </c>
      <c r="D26" s="60">
        <v>7166</v>
      </c>
      <c r="F26" s="40">
        <f>D38</f>
        <v>354169.91</v>
      </c>
      <c r="G26" s="13" t="s">
        <v>164</v>
      </c>
      <c r="H26" s="62"/>
      <c r="I26" s="40">
        <v>354169.91</v>
      </c>
      <c r="J26" s="62"/>
    </row>
    <row r="27" spans="1:13" x14ac:dyDescent="0.25">
      <c r="A27" s="32" t="s">
        <v>128</v>
      </c>
      <c r="B27" s="61">
        <v>-2540</v>
      </c>
      <c r="C27" s="61">
        <v>0</v>
      </c>
      <c r="D27" s="60">
        <v>-2540</v>
      </c>
      <c r="F27" s="40"/>
      <c r="G27" s="12" t="s">
        <v>174</v>
      </c>
      <c r="H27" s="62"/>
      <c r="I27" s="40">
        <v>6000</v>
      </c>
      <c r="J27" s="62"/>
    </row>
    <row r="28" spans="1:13" x14ac:dyDescent="0.25">
      <c r="A28" s="32" t="s">
        <v>129</v>
      </c>
      <c r="B28" s="61">
        <v>0</v>
      </c>
      <c r="C28" s="61">
        <v>260</v>
      </c>
      <c r="D28" s="60">
        <v>260</v>
      </c>
      <c r="F28" s="40"/>
      <c r="G28" s="12" t="s">
        <v>175</v>
      </c>
      <c r="H28" s="62">
        <v>30750</v>
      </c>
      <c r="I28" s="40">
        <v>61500</v>
      </c>
      <c r="J28" s="62"/>
      <c r="K28" s="59">
        <f>H30-I30</f>
        <v>315965.3599999994</v>
      </c>
      <c r="L28" s="43">
        <f>K28+D80</f>
        <v>-0.44000000058440492</v>
      </c>
    </row>
    <row r="29" spans="1:13" x14ac:dyDescent="0.25">
      <c r="A29" s="32" t="s">
        <v>74</v>
      </c>
      <c r="B29" s="61">
        <v>0</v>
      </c>
      <c r="C29" s="61">
        <v>3788</v>
      </c>
      <c r="D29" s="60">
        <v>3788</v>
      </c>
    </row>
    <row r="30" spans="1:13" x14ac:dyDescent="0.25">
      <c r="A30" s="32" t="s">
        <v>48</v>
      </c>
      <c r="B30" s="61">
        <v>-30936</v>
      </c>
      <c r="C30" s="61">
        <v>52857.15</v>
      </c>
      <c r="D30" s="60">
        <v>21921.15</v>
      </c>
      <c r="F30" s="40"/>
      <c r="G30" s="62"/>
      <c r="H30" s="63">
        <f>SUM(H5:H28)</f>
        <v>6626696</v>
      </c>
      <c r="I30" s="63">
        <f>SUM(I5:I28)</f>
        <v>6310730.6400000006</v>
      </c>
      <c r="J30" s="62"/>
    </row>
    <row r="31" spans="1:13" x14ac:dyDescent="0.25">
      <c r="A31" s="32" t="s">
        <v>49</v>
      </c>
      <c r="B31" s="61">
        <v>-30000</v>
      </c>
      <c r="C31" s="61">
        <v>39063.599999999999</v>
      </c>
      <c r="D31" s="60">
        <v>9063.6</v>
      </c>
      <c r="F31" s="62"/>
      <c r="G31" s="62"/>
      <c r="H31" s="62"/>
      <c r="I31" s="62"/>
      <c r="J31" s="62"/>
    </row>
    <row r="32" spans="1:13" x14ac:dyDescent="0.25">
      <c r="A32" s="32" t="s">
        <v>50</v>
      </c>
      <c r="B32" s="61">
        <v>-419300</v>
      </c>
      <c r="C32" s="61">
        <v>0</v>
      </c>
      <c r="D32" s="60">
        <v>-419300</v>
      </c>
      <c r="F32" s="62"/>
      <c r="G32" s="62"/>
      <c r="H32" s="40">
        <f>H30+B80</f>
        <v>-0.25999999977648258</v>
      </c>
      <c r="I32" s="40">
        <f>I30-C80</f>
        <v>0.18000000063329935</v>
      </c>
      <c r="J32" s="62"/>
    </row>
    <row r="33" spans="1:7" x14ac:dyDescent="0.25">
      <c r="A33" s="32" t="s">
        <v>51</v>
      </c>
      <c r="B33" s="61">
        <v>0</v>
      </c>
      <c r="C33" s="61">
        <v>47118.22</v>
      </c>
      <c r="D33" s="60">
        <v>47118.22</v>
      </c>
    </row>
    <row r="34" spans="1:7" x14ac:dyDescent="0.25">
      <c r="A34" s="32" t="s">
        <v>52</v>
      </c>
      <c r="B34" s="61">
        <v>0</v>
      </c>
      <c r="C34" s="61">
        <v>8316</v>
      </c>
      <c r="D34" s="60">
        <v>8316</v>
      </c>
    </row>
    <row r="35" spans="1:7" x14ac:dyDescent="0.25">
      <c r="A35" s="32" t="s">
        <v>130</v>
      </c>
      <c r="B35" s="61">
        <v>-1760</v>
      </c>
      <c r="C35" s="61">
        <v>0</v>
      </c>
      <c r="D35" s="60">
        <v>-1760</v>
      </c>
    </row>
    <row r="36" spans="1:7" x14ac:dyDescent="0.25">
      <c r="A36" s="32" t="s">
        <v>53</v>
      </c>
      <c r="B36" s="61">
        <v>0</v>
      </c>
      <c r="C36" s="61">
        <v>5279</v>
      </c>
      <c r="D36" s="60">
        <v>5279</v>
      </c>
    </row>
    <row r="37" spans="1:7" x14ac:dyDescent="0.25">
      <c r="A37" s="32" t="s">
        <v>54</v>
      </c>
      <c r="B37" s="33">
        <v>0</v>
      </c>
      <c r="C37" s="33">
        <v>102576.4</v>
      </c>
      <c r="D37" s="60">
        <v>102576.4</v>
      </c>
    </row>
    <row r="38" spans="1:7" x14ac:dyDescent="0.25">
      <c r="A38" s="32" t="s">
        <v>55</v>
      </c>
      <c r="B38" s="33">
        <v>0</v>
      </c>
      <c r="C38" s="33">
        <v>354169.91</v>
      </c>
      <c r="D38" s="60">
        <v>354169.91</v>
      </c>
      <c r="G38" s="43"/>
    </row>
    <row r="39" spans="1:7" x14ac:dyDescent="0.25">
      <c r="A39" s="32" t="s">
        <v>131</v>
      </c>
      <c r="B39" s="33">
        <v>0</v>
      </c>
      <c r="C39" s="33">
        <v>6000</v>
      </c>
      <c r="D39" s="60">
        <v>6000</v>
      </c>
    </row>
    <row r="40" spans="1:7" x14ac:dyDescent="0.25">
      <c r="A40" s="32" t="s">
        <v>132</v>
      </c>
      <c r="B40" s="33">
        <v>-30750</v>
      </c>
      <c r="C40" s="33">
        <v>61500</v>
      </c>
      <c r="D40" s="60">
        <v>30750</v>
      </c>
    </row>
    <row r="41" spans="1:7" x14ac:dyDescent="0.25">
      <c r="A41" s="32" t="s">
        <v>133</v>
      </c>
      <c r="B41" s="33">
        <v>-100630.22</v>
      </c>
      <c r="C41" s="33">
        <v>93347.22</v>
      </c>
      <c r="D41" s="37">
        <v>-7283</v>
      </c>
    </row>
    <row r="42" spans="1:7" x14ac:dyDescent="0.25">
      <c r="A42" s="32" t="s">
        <v>57</v>
      </c>
      <c r="B42" s="33">
        <v>-35045.199999999997</v>
      </c>
      <c r="C42" s="33">
        <v>604501.85</v>
      </c>
      <c r="D42" s="60">
        <v>569456.65</v>
      </c>
    </row>
    <row r="43" spans="1:7" x14ac:dyDescent="0.25">
      <c r="A43" s="32" t="s">
        <v>58</v>
      </c>
      <c r="B43" s="33">
        <v>0</v>
      </c>
      <c r="C43" s="33">
        <v>52126.47</v>
      </c>
      <c r="D43" s="60">
        <v>52126.47</v>
      </c>
    </row>
    <row r="44" spans="1:7" x14ac:dyDescent="0.25">
      <c r="A44" s="32" t="s">
        <v>59</v>
      </c>
      <c r="B44" s="33">
        <v>0</v>
      </c>
      <c r="C44" s="33">
        <v>150291.09</v>
      </c>
      <c r="D44" s="60">
        <v>150291.09</v>
      </c>
    </row>
    <row r="45" spans="1:7" x14ac:dyDescent="0.25">
      <c r="A45" s="32" t="s">
        <v>29</v>
      </c>
      <c r="B45" s="33">
        <v>-2954991.04</v>
      </c>
      <c r="C45" s="33">
        <v>3077221.23</v>
      </c>
      <c r="D45" s="40">
        <v>122230.19</v>
      </c>
    </row>
    <row r="46" spans="1:7" hidden="1" x14ac:dyDescent="0.25">
      <c r="A46" s="51" t="s">
        <v>60</v>
      </c>
      <c r="B46" s="33"/>
      <c r="C46" s="33"/>
      <c r="D46" s="40"/>
    </row>
    <row r="47" spans="1:7" hidden="1" x14ac:dyDescent="0.25">
      <c r="A47" s="32" t="s">
        <v>134</v>
      </c>
      <c r="B47" s="33">
        <v>-30000</v>
      </c>
      <c r="C47" s="33">
        <v>31850.01</v>
      </c>
      <c r="D47" s="40">
        <v>1850.01</v>
      </c>
    </row>
    <row r="48" spans="1:7" hidden="1" x14ac:dyDescent="0.25">
      <c r="A48" s="32" t="s">
        <v>61</v>
      </c>
      <c r="B48" s="33">
        <v>0</v>
      </c>
      <c r="C48" s="33">
        <v>-500</v>
      </c>
      <c r="D48" s="40">
        <v>-500</v>
      </c>
    </row>
    <row r="49" spans="1:4" hidden="1" x14ac:dyDescent="0.25">
      <c r="A49" s="32" t="s">
        <v>75</v>
      </c>
      <c r="B49" s="33">
        <v>-48000</v>
      </c>
      <c r="C49" s="33">
        <v>48500</v>
      </c>
      <c r="D49" s="40">
        <v>500</v>
      </c>
    </row>
    <row r="50" spans="1:4" hidden="1" x14ac:dyDescent="0.25">
      <c r="A50" s="32" t="s">
        <v>135</v>
      </c>
      <c r="B50" s="33">
        <v>0</v>
      </c>
      <c r="C50" s="33">
        <v>0</v>
      </c>
      <c r="D50" s="40">
        <v>0</v>
      </c>
    </row>
    <row r="51" spans="1:4" hidden="1" x14ac:dyDescent="0.25">
      <c r="A51" s="32" t="s">
        <v>62</v>
      </c>
      <c r="B51" s="33">
        <v>-123066</v>
      </c>
      <c r="C51" s="33">
        <v>123066</v>
      </c>
      <c r="D51" s="40">
        <v>0</v>
      </c>
    </row>
    <row r="52" spans="1:4" x14ac:dyDescent="0.25">
      <c r="A52" s="32" t="s">
        <v>29</v>
      </c>
      <c r="B52" s="38">
        <v>-201066</v>
      </c>
      <c r="C52" s="38">
        <v>202916.01</v>
      </c>
      <c r="D52" s="37">
        <v>1850.01</v>
      </c>
    </row>
    <row r="53" spans="1:4" x14ac:dyDescent="0.25">
      <c r="A53" s="51" t="s">
        <v>136</v>
      </c>
      <c r="B53" s="33"/>
      <c r="C53" s="33"/>
      <c r="D53" s="40"/>
    </row>
    <row r="54" spans="1:4" hidden="1" x14ac:dyDescent="0.25">
      <c r="A54" s="32" t="s">
        <v>137</v>
      </c>
      <c r="B54" s="33">
        <v>-4500</v>
      </c>
      <c r="C54" s="33">
        <v>13875</v>
      </c>
      <c r="D54" s="40">
        <v>9375</v>
      </c>
    </row>
    <row r="55" spans="1:4" x14ac:dyDescent="0.25">
      <c r="A55" s="32" t="s">
        <v>29</v>
      </c>
      <c r="B55" s="33">
        <v>-4500</v>
      </c>
      <c r="C55" s="33">
        <v>13875</v>
      </c>
      <c r="D55" s="37">
        <v>9375</v>
      </c>
    </row>
    <row r="56" spans="1:4" x14ac:dyDescent="0.25">
      <c r="A56" s="51" t="s">
        <v>63</v>
      </c>
      <c r="B56" s="33"/>
      <c r="C56" s="33"/>
      <c r="D56" s="40"/>
    </row>
    <row r="57" spans="1:4" hidden="1" x14ac:dyDescent="0.25">
      <c r="A57" s="32" t="s">
        <v>54</v>
      </c>
      <c r="B57" s="33">
        <v>0</v>
      </c>
      <c r="C57" s="33">
        <v>0</v>
      </c>
      <c r="D57" s="40">
        <v>0</v>
      </c>
    </row>
    <row r="58" spans="1:4" hidden="1" x14ac:dyDescent="0.25">
      <c r="A58" s="32" t="s">
        <v>64</v>
      </c>
      <c r="B58" s="33">
        <v>-137900</v>
      </c>
      <c r="C58" s="33">
        <v>138600</v>
      </c>
      <c r="D58" s="40">
        <v>700</v>
      </c>
    </row>
    <row r="59" spans="1:4" hidden="1" x14ac:dyDescent="0.25">
      <c r="A59" s="32" t="s">
        <v>65</v>
      </c>
      <c r="B59" s="33">
        <v>6600</v>
      </c>
      <c r="C59" s="33">
        <v>0</v>
      </c>
      <c r="D59" s="40">
        <v>6600</v>
      </c>
    </row>
    <row r="60" spans="1:4" hidden="1" x14ac:dyDescent="0.25">
      <c r="A60" s="32" t="s">
        <v>66</v>
      </c>
      <c r="B60" s="33">
        <v>-102000</v>
      </c>
      <c r="C60" s="33">
        <v>102000</v>
      </c>
      <c r="D60" s="40">
        <v>0</v>
      </c>
    </row>
    <row r="61" spans="1:4" hidden="1" x14ac:dyDescent="0.25">
      <c r="A61" s="32" t="s">
        <v>56</v>
      </c>
      <c r="B61" s="33">
        <v>-242650</v>
      </c>
      <c r="C61" s="33">
        <v>181766.49</v>
      </c>
      <c r="D61" s="40">
        <v>-60883.51</v>
      </c>
    </row>
    <row r="62" spans="1:4" hidden="1" x14ac:dyDescent="0.25">
      <c r="A62" s="32" t="s">
        <v>138</v>
      </c>
      <c r="B62" s="33">
        <v>0</v>
      </c>
      <c r="C62" s="33">
        <v>0</v>
      </c>
      <c r="D62" s="40">
        <v>0</v>
      </c>
    </row>
    <row r="63" spans="1:4" hidden="1" x14ac:dyDescent="0.25">
      <c r="A63" s="32" t="s">
        <v>67</v>
      </c>
      <c r="B63" s="33">
        <v>-52000</v>
      </c>
      <c r="C63" s="33">
        <v>50185.03</v>
      </c>
      <c r="D63" s="40">
        <v>-1814.97</v>
      </c>
    </row>
    <row r="64" spans="1:4" hidden="1" x14ac:dyDescent="0.25">
      <c r="A64" s="32" t="s">
        <v>68</v>
      </c>
      <c r="B64" s="33">
        <v>-84011</v>
      </c>
      <c r="C64" s="33">
        <v>85000</v>
      </c>
      <c r="D64" s="40">
        <v>989</v>
      </c>
    </row>
    <row r="65" spans="1:4" x14ac:dyDescent="0.25">
      <c r="A65" s="32" t="s">
        <v>29</v>
      </c>
      <c r="B65" s="38">
        <v>-611961</v>
      </c>
      <c r="C65" s="38">
        <v>557551.52</v>
      </c>
      <c r="D65" s="37">
        <v>-54409.48</v>
      </c>
    </row>
    <row r="66" spans="1:4" x14ac:dyDescent="0.25">
      <c r="A66" s="51" t="s">
        <v>69</v>
      </c>
      <c r="B66" s="33"/>
      <c r="C66" s="33"/>
      <c r="D66" s="40"/>
    </row>
    <row r="67" spans="1:4" x14ac:dyDescent="0.25">
      <c r="A67" s="32" t="s">
        <v>70</v>
      </c>
      <c r="B67" s="33">
        <v>-1514398.22</v>
      </c>
      <c r="C67" s="33">
        <v>1477677.29</v>
      </c>
      <c r="D67" s="40">
        <v>-36720.93</v>
      </c>
    </row>
    <row r="68" spans="1:4" x14ac:dyDescent="0.25">
      <c r="A68" s="32" t="s">
        <v>29</v>
      </c>
      <c r="B68" s="38">
        <v>-1514398.22</v>
      </c>
      <c r="C68" s="38">
        <v>1477677.29</v>
      </c>
      <c r="D68" s="37">
        <v>-36720.93</v>
      </c>
    </row>
    <row r="69" spans="1:4" x14ac:dyDescent="0.25">
      <c r="A69" s="51" t="s">
        <v>139</v>
      </c>
      <c r="B69" s="33"/>
      <c r="C69" s="33"/>
      <c r="D69" s="40"/>
    </row>
    <row r="70" spans="1:4" hidden="1" x14ac:dyDescent="0.25">
      <c r="A70" s="32" t="s">
        <v>140</v>
      </c>
      <c r="B70" s="33">
        <v>-330000</v>
      </c>
      <c r="C70" s="33">
        <v>75981</v>
      </c>
      <c r="D70" s="40">
        <v>-254019</v>
      </c>
    </row>
    <row r="71" spans="1:4" hidden="1" x14ac:dyDescent="0.25">
      <c r="A71" s="32" t="s">
        <v>141</v>
      </c>
      <c r="B71" s="33">
        <v>-800000</v>
      </c>
      <c r="C71" s="33">
        <v>0</v>
      </c>
      <c r="D71" s="40">
        <v>-800000</v>
      </c>
    </row>
    <row r="72" spans="1:4" hidden="1" x14ac:dyDescent="0.25">
      <c r="A72" s="32" t="s">
        <v>142</v>
      </c>
      <c r="B72" s="33">
        <v>0</v>
      </c>
      <c r="C72" s="33">
        <v>81397.61</v>
      </c>
      <c r="D72" s="40">
        <v>81397.61</v>
      </c>
    </row>
    <row r="73" spans="1:4" hidden="1" x14ac:dyDescent="0.25">
      <c r="A73" s="32" t="s">
        <v>143</v>
      </c>
      <c r="B73" s="33">
        <v>-65001</v>
      </c>
      <c r="C73" s="33">
        <v>73932.179999999993</v>
      </c>
      <c r="D73" s="57">
        <v>8931.18</v>
      </c>
    </row>
    <row r="74" spans="1:4" hidden="1" x14ac:dyDescent="0.25">
      <c r="A74" s="32" t="s">
        <v>144</v>
      </c>
      <c r="B74" s="33">
        <v>0</v>
      </c>
      <c r="C74" s="33">
        <v>64153.97</v>
      </c>
      <c r="D74" s="57">
        <v>64153.97</v>
      </c>
    </row>
    <row r="75" spans="1:4" hidden="1" x14ac:dyDescent="0.25">
      <c r="A75" s="32" t="s">
        <v>145</v>
      </c>
      <c r="B75" s="33">
        <v>0</v>
      </c>
      <c r="C75" s="33">
        <v>92244.5</v>
      </c>
      <c r="D75" s="57">
        <v>92244.5</v>
      </c>
    </row>
    <row r="76" spans="1:4" hidden="1" x14ac:dyDescent="0.25">
      <c r="A76" s="32" t="s">
        <v>146</v>
      </c>
      <c r="B76" s="33">
        <v>-144779</v>
      </c>
      <c r="C76" s="33">
        <v>347133.05</v>
      </c>
      <c r="D76" s="57">
        <v>202354.05</v>
      </c>
    </row>
    <row r="77" spans="1:4" hidden="1" x14ac:dyDescent="0.25">
      <c r="A77" s="32" t="s">
        <v>147</v>
      </c>
      <c r="B77" s="33">
        <v>0</v>
      </c>
      <c r="C77" s="33">
        <v>7566.16</v>
      </c>
      <c r="D77" s="57">
        <v>7566.16</v>
      </c>
    </row>
    <row r="78" spans="1:4" hidden="1" x14ac:dyDescent="0.25">
      <c r="A78" s="32" t="s">
        <v>57</v>
      </c>
      <c r="B78" s="33">
        <v>0</v>
      </c>
      <c r="C78" s="33">
        <v>239080.94</v>
      </c>
      <c r="D78" s="57">
        <v>239080.94</v>
      </c>
    </row>
    <row r="79" spans="1:4" x14ac:dyDescent="0.25">
      <c r="A79" s="32" t="s">
        <v>29</v>
      </c>
      <c r="B79" s="38">
        <v>-1339780</v>
      </c>
      <c r="C79" s="38">
        <v>981489.41</v>
      </c>
      <c r="D79" s="38">
        <v>-358290.59</v>
      </c>
    </row>
    <row r="80" spans="1:4" x14ac:dyDescent="0.25">
      <c r="A80" s="51" t="s">
        <v>12</v>
      </c>
      <c r="B80" s="34">
        <v>-6626696.2599999998</v>
      </c>
      <c r="C80" s="34">
        <v>6310730.46</v>
      </c>
      <c r="D80" s="58">
        <v>-315965.8</v>
      </c>
    </row>
    <row r="84" spans="2:2" x14ac:dyDescent="0.25">
      <c r="B84" s="43">
        <f>SUM(D37:D40)</f>
        <v>493496.30999999994</v>
      </c>
    </row>
    <row r="85" spans="2:2" x14ac:dyDescent="0.25">
      <c r="B85" s="43">
        <f>D68</f>
        <v>-36720.93</v>
      </c>
    </row>
    <row r="86" spans="2:2" x14ac:dyDescent="0.25">
      <c r="B86" s="43">
        <f>D79</f>
        <v>-358290.59</v>
      </c>
    </row>
    <row r="87" spans="2:2" x14ac:dyDescent="0.25">
      <c r="B87" s="43">
        <f>D80</f>
        <v>-315965.8</v>
      </c>
    </row>
    <row r="88" spans="2:2" x14ac:dyDescent="0.25">
      <c r="B88" s="43">
        <f>SUM(B84:B87)</f>
        <v>-217481.01000000007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DC98-1D88-432D-AC27-D34B270DADE4}">
  <sheetPr>
    <tabColor theme="4" tint="0.59999389629810485"/>
  </sheetPr>
  <dimension ref="A1:H41"/>
  <sheetViews>
    <sheetView workbookViewId="0">
      <selection activeCell="K24" sqref="K24"/>
    </sheetView>
  </sheetViews>
  <sheetFormatPr baseColWidth="10" defaultRowHeight="15" x14ac:dyDescent="0.25"/>
  <cols>
    <col min="1" max="1" width="5.140625" customWidth="1"/>
  </cols>
  <sheetData>
    <row r="1" spans="1:8" x14ac:dyDescent="0.25">
      <c r="A1" s="128"/>
      <c r="B1" s="128"/>
      <c r="C1" s="128"/>
      <c r="D1" s="128"/>
      <c r="E1" s="128"/>
      <c r="F1" s="128"/>
      <c r="G1" s="128"/>
      <c r="H1" s="128"/>
    </row>
    <row r="2" spans="1:8" ht="15.75" thickBot="1" x14ac:dyDescent="0.3">
      <c r="A2" s="128"/>
      <c r="B2" s="128"/>
      <c r="C2" s="128"/>
      <c r="D2" s="128"/>
      <c r="E2" s="128"/>
      <c r="F2" s="128"/>
      <c r="G2" s="128"/>
      <c r="H2" s="128"/>
    </row>
    <row r="3" spans="1:8" x14ac:dyDescent="0.25">
      <c r="A3" s="128"/>
      <c r="B3" s="172"/>
      <c r="C3" s="173"/>
      <c r="D3" s="173"/>
      <c r="E3" s="173"/>
      <c r="F3" s="173"/>
      <c r="G3" s="173"/>
      <c r="H3" s="174"/>
    </row>
    <row r="4" spans="1:8" x14ac:dyDescent="0.25">
      <c r="A4" s="128"/>
      <c r="B4" s="175"/>
      <c r="C4" s="128"/>
      <c r="D4" s="128"/>
      <c r="E4" s="128"/>
      <c r="F4" s="128"/>
      <c r="G4" s="128"/>
      <c r="H4" s="176"/>
    </row>
    <row r="5" spans="1:8" x14ac:dyDescent="0.25">
      <c r="A5" s="128"/>
      <c r="B5" s="175"/>
      <c r="C5" s="128"/>
      <c r="D5" s="128"/>
      <c r="E5" s="128"/>
      <c r="F5" s="128"/>
      <c r="G5" s="128"/>
      <c r="H5" s="176"/>
    </row>
    <row r="6" spans="1:8" x14ac:dyDescent="0.25">
      <c r="A6" s="128"/>
      <c r="B6" s="175"/>
      <c r="C6" s="128"/>
      <c r="D6" s="128"/>
      <c r="E6" s="128"/>
      <c r="F6" s="128"/>
      <c r="G6" s="128"/>
      <c r="H6" s="176"/>
    </row>
    <row r="7" spans="1:8" ht="33.75" x14ac:dyDescent="0.5">
      <c r="A7" s="128"/>
      <c r="B7" s="175"/>
      <c r="C7" s="177" t="s">
        <v>206</v>
      </c>
      <c r="D7" s="128"/>
      <c r="E7" s="128"/>
      <c r="F7" s="128"/>
      <c r="G7" s="128"/>
      <c r="H7" s="176"/>
    </row>
    <row r="8" spans="1:8" x14ac:dyDescent="0.25">
      <c r="A8" s="128"/>
      <c r="B8" s="175"/>
      <c r="C8" s="128"/>
      <c r="D8" s="128"/>
      <c r="E8" s="128"/>
      <c r="F8" s="128"/>
      <c r="G8" s="128"/>
      <c r="H8" s="176"/>
    </row>
    <row r="9" spans="1:8" x14ac:dyDescent="0.25">
      <c r="A9" s="128"/>
      <c r="B9" s="175"/>
      <c r="C9" s="128"/>
      <c r="D9" s="128"/>
      <c r="E9" s="128"/>
      <c r="F9" s="128"/>
      <c r="G9" s="128"/>
      <c r="H9" s="176"/>
    </row>
    <row r="10" spans="1:8" x14ac:dyDescent="0.25">
      <c r="A10" s="128"/>
      <c r="B10" s="175"/>
      <c r="C10" s="128"/>
      <c r="D10" s="128"/>
      <c r="E10" s="128"/>
      <c r="F10" s="128"/>
      <c r="G10" s="128"/>
      <c r="H10" s="176"/>
    </row>
    <row r="11" spans="1:8" x14ac:dyDescent="0.25">
      <c r="A11" s="128"/>
      <c r="B11" s="175"/>
      <c r="C11" s="128"/>
      <c r="D11" s="128"/>
      <c r="E11" s="128"/>
      <c r="F11" s="128"/>
      <c r="G11" s="128"/>
      <c r="H11" s="176"/>
    </row>
    <row r="12" spans="1:8" ht="33.75" x14ac:dyDescent="0.5">
      <c r="A12" s="128"/>
      <c r="B12" s="175"/>
      <c r="C12" s="177" t="s">
        <v>207</v>
      </c>
      <c r="D12" s="127"/>
      <c r="E12" s="128"/>
      <c r="F12" s="128"/>
      <c r="G12" s="128"/>
      <c r="H12" s="176"/>
    </row>
    <row r="13" spans="1:8" x14ac:dyDescent="0.25">
      <c r="A13" s="128"/>
      <c r="B13" s="175"/>
      <c r="C13" s="128"/>
      <c r="D13" s="128"/>
      <c r="E13" s="128"/>
      <c r="F13" s="128"/>
      <c r="G13" s="128"/>
      <c r="H13" s="176"/>
    </row>
    <row r="14" spans="1:8" x14ac:dyDescent="0.25">
      <c r="A14" s="128"/>
      <c r="B14" s="175"/>
      <c r="C14" s="128"/>
      <c r="D14" s="128"/>
      <c r="E14" s="128"/>
      <c r="F14" s="128"/>
      <c r="G14" s="128"/>
      <c r="H14" s="176"/>
    </row>
    <row r="15" spans="1:8" x14ac:dyDescent="0.25">
      <c r="A15" s="128"/>
      <c r="B15" s="175"/>
      <c r="C15" s="128"/>
      <c r="D15" s="128"/>
      <c r="E15" s="128"/>
      <c r="F15" s="128"/>
      <c r="G15" s="128"/>
      <c r="H15" s="176"/>
    </row>
    <row r="16" spans="1:8" x14ac:dyDescent="0.25">
      <c r="A16" s="128"/>
      <c r="B16" s="175"/>
      <c r="C16" s="128"/>
      <c r="D16" s="128"/>
      <c r="E16" s="128"/>
      <c r="F16" s="128"/>
      <c r="G16" s="128"/>
      <c r="H16" s="176"/>
    </row>
    <row r="17" spans="1:8" x14ac:dyDescent="0.25">
      <c r="A17" s="128"/>
      <c r="B17" s="175"/>
      <c r="C17" s="128"/>
      <c r="D17" s="128"/>
      <c r="E17" s="128"/>
      <c r="F17" s="128"/>
      <c r="G17" s="128"/>
      <c r="H17" s="176"/>
    </row>
    <row r="18" spans="1:8" x14ac:dyDescent="0.25">
      <c r="A18" s="128"/>
      <c r="B18" s="175"/>
      <c r="C18" s="128"/>
      <c r="D18" s="128"/>
      <c r="E18" s="128"/>
      <c r="F18" s="128"/>
      <c r="G18" s="128"/>
      <c r="H18" s="176"/>
    </row>
    <row r="19" spans="1:8" x14ac:dyDescent="0.25">
      <c r="A19" s="128"/>
      <c r="B19" s="175"/>
      <c r="C19" s="128"/>
      <c r="D19" s="128"/>
      <c r="E19" s="128"/>
      <c r="F19" s="128"/>
      <c r="G19" s="128"/>
      <c r="H19" s="176"/>
    </row>
    <row r="20" spans="1:8" x14ac:dyDescent="0.25">
      <c r="A20" s="128"/>
      <c r="B20" s="175"/>
      <c r="C20" s="128"/>
      <c r="D20" s="128"/>
      <c r="E20" s="128"/>
      <c r="F20" s="128"/>
      <c r="G20" s="128"/>
      <c r="H20" s="176"/>
    </row>
    <row r="21" spans="1:8" x14ac:dyDescent="0.25">
      <c r="A21" s="128"/>
      <c r="B21" s="175"/>
      <c r="C21" s="128"/>
      <c r="D21" s="128"/>
      <c r="E21" s="128"/>
      <c r="F21" s="128"/>
      <c r="G21" s="128"/>
      <c r="H21" s="176"/>
    </row>
    <row r="22" spans="1:8" x14ac:dyDescent="0.25">
      <c r="A22" s="128"/>
      <c r="B22" s="175"/>
      <c r="C22" s="128"/>
      <c r="D22" s="128"/>
      <c r="E22" s="128"/>
      <c r="F22" s="128"/>
      <c r="G22" s="128"/>
      <c r="H22" s="176"/>
    </row>
    <row r="23" spans="1:8" x14ac:dyDescent="0.25">
      <c r="A23" s="128"/>
      <c r="B23" s="175"/>
      <c r="C23" s="128"/>
      <c r="D23" s="128"/>
      <c r="E23" s="128"/>
      <c r="F23" s="128"/>
      <c r="G23" s="128"/>
      <c r="H23" s="176"/>
    </row>
    <row r="24" spans="1:8" x14ac:dyDescent="0.25">
      <c r="A24" s="128"/>
      <c r="B24" s="175"/>
      <c r="C24" s="128"/>
      <c r="D24" s="128"/>
      <c r="E24" s="128"/>
      <c r="F24" s="128"/>
      <c r="G24" s="128"/>
      <c r="H24" s="176"/>
    </row>
    <row r="25" spans="1:8" x14ac:dyDescent="0.25">
      <c r="A25" s="128"/>
      <c r="B25" s="175"/>
      <c r="C25" s="128"/>
      <c r="D25" s="128"/>
      <c r="E25" s="128"/>
      <c r="F25" s="128"/>
      <c r="G25" s="128"/>
      <c r="H25" s="176"/>
    </row>
    <row r="26" spans="1:8" x14ac:dyDescent="0.25">
      <c r="A26" s="128"/>
      <c r="B26" s="175"/>
      <c r="C26" s="128"/>
      <c r="D26" s="128"/>
      <c r="E26" s="128"/>
      <c r="F26" s="128"/>
      <c r="G26" s="128"/>
      <c r="H26" s="176"/>
    </row>
    <row r="27" spans="1:8" x14ac:dyDescent="0.25">
      <c r="A27" s="128"/>
      <c r="B27" s="175"/>
      <c r="C27" s="128"/>
      <c r="D27" s="128"/>
      <c r="E27" s="128"/>
      <c r="F27" s="128"/>
      <c r="G27" s="128"/>
      <c r="H27" s="176"/>
    </row>
    <row r="28" spans="1:8" x14ac:dyDescent="0.25">
      <c r="A28" s="128"/>
      <c r="B28" s="175"/>
      <c r="C28" s="128"/>
      <c r="D28" s="128"/>
      <c r="E28" s="128"/>
      <c r="F28" s="128"/>
      <c r="G28" s="128"/>
      <c r="H28" s="176"/>
    </row>
    <row r="29" spans="1:8" x14ac:dyDescent="0.25">
      <c r="A29" s="128"/>
      <c r="B29" s="175"/>
      <c r="C29" s="128"/>
      <c r="D29" s="128"/>
      <c r="E29" s="128"/>
      <c r="F29" s="128"/>
      <c r="G29" s="128"/>
      <c r="H29" s="176"/>
    </row>
    <row r="30" spans="1:8" x14ac:dyDescent="0.25">
      <c r="A30" s="128"/>
      <c r="B30" s="175"/>
      <c r="C30" s="128"/>
      <c r="D30" s="128"/>
      <c r="E30" s="128"/>
      <c r="F30" s="128"/>
      <c r="G30" s="128"/>
      <c r="H30" s="176"/>
    </row>
    <row r="31" spans="1:8" x14ac:dyDescent="0.25">
      <c r="A31" s="128"/>
      <c r="B31" s="175"/>
      <c r="C31" s="128"/>
      <c r="D31" s="128"/>
      <c r="E31" s="128"/>
      <c r="F31" s="128"/>
      <c r="G31" s="128"/>
      <c r="H31" s="176"/>
    </row>
    <row r="32" spans="1:8" x14ac:dyDescent="0.25">
      <c r="A32" s="128"/>
      <c r="B32" s="175"/>
      <c r="C32" s="128"/>
      <c r="D32" s="128"/>
      <c r="E32" s="128"/>
      <c r="F32" s="128"/>
      <c r="G32" s="128"/>
      <c r="H32" s="176"/>
    </row>
    <row r="33" spans="1:8" x14ac:dyDescent="0.25">
      <c r="A33" s="128"/>
      <c r="B33" s="175"/>
      <c r="C33" s="128"/>
      <c r="D33" s="128"/>
      <c r="E33" s="128"/>
      <c r="F33" s="128"/>
      <c r="G33" s="128"/>
      <c r="H33" s="176"/>
    </row>
    <row r="34" spans="1:8" x14ac:dyDescent="0.25">
      <c r="A34" s="128"/>
      <c r="B34" s="175"/>
      <c r="C34" s="128"/>
      <c r="D34" s="128"/>
      <c r="E34" s="128"/>
      <c r="F34" s="128"/>
      <c r="G34" s="128"/>
      <c r="H34" s="176"/>
    </row>
    <row r="35" spans="1:8" x14ac:dyDescent="0.25">
      <c r="A35" s="128"/>
      <c r="B35" s="175"/>
      <c r="C35" s="128"/>
      <c r="D35" s="128"/>
      <c r="E35" s="128"/>
      <c r="F35" s="128"/>
      <c r="G35" s="128"/>
      <c r="H35" s="176"/>
    </row>
    <row r="36" spans="1:8" x14ac:dyDescent="0.25">
      <c r="A36" s="128"/>
      <c r="B36" s="175"/>
      <c r="C36" s="128"/>
      <c r="D36" s="128"/>
      <c r="E36" s="128"/>
      <c r="F36" s="128"/>
      <c r="G36" s="128"/>
      <c r="H36" s="176"/>
    </row>
    <row r="37" spans="1:8" x14ac:dyDescent="0.25">
      <c r="A37" s="128"/>
      <c r="B37" s="175"/>
      <c r="C37" s="128"/>
      <c r="D37" s="128"/>
      <c r="E37" s="128"/>
      <c r="F37" s="128"/>
      <c r="G37" s="128"/>
      <c r="H37" s="176"/>
    </row>
    <row r="38" spans="1:8" x14ac:dyDescent="0.25">
      <c r="A38" s="128"/>
      <c r="B38" s="175"/>
      <c r="C38" s="128"/>
      <c r="D38" s="128"/>
      <c r="E38" s="128"/>
      <c r="F38" s="128"/>
      <c r="G38" s="128"/>
      <c r="H38" s="176"/>
    </row>
    <row r="39" spans="1:8" x14ac:dyDescent="0.25">
      <c r="A39" s="128"/>
      <c r="B39" s="175"/>
      <c r="C39" s="128"/>
      <c r="D39" s="128"/>
      <c r="E39" s="128"/>
      <c r="F39" s="128"/>
      <c r="G39" s="128"/>
      <c r="H39" s="176"/>
    </row>
    <row r="40" spans="1:8" x14ac:dyDescent="0.25">
      <c r="A40" s="128"/>
      <c r="B40" s="175"/>
      <c r="C40" s="128"/>
      <c r="D40" s="128"/>
      <c r="E40" s="128"/>
      <c r="F40" s="128"/>
      <c r="G40" s="128"/>
      <c r="H40" s="176"/>
    </row>
    <row r="41" spans="1:8" ht="15.75" thickBot="1" x14ac:dyDescent="0.3">
      <c r="A41" s="128"/>
      <c r="B41" s="178"/>
      <c r="C41" s="179"/>
      <c r="D41" s="179"/>
      <c r="E41" s="179"/>
      <c r="F41" s="179"/>
      <c r="G41" s="179"/>
      <c r="H41" s="180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CB34-5C22-45E7-8E83-A38F8C7D8332}">
  <sheetPr>
    <tabColor theme="4" tint="0.39997558519241921"/>
  </sheetPr>
  <dimension ref="A1:H37"/>
  <sheetViews>
    <sheetView workbookViewId="0">
      <selection activeCell="M20" sqref="M20"/>
    </sheetView>
  </sheetViews>
  <sheetFormatPr baseColWidth="10" defaultRowHeight="15" x14ac:dyDescent="0.25"/>
  <sheetData>
    <row r="1" spans="1:8" x14ac:dyDescent="0.25">
      <c r="A1" s="128"/>
      <c r="B1" s="128"/>
      <c r="C1" s="128"/>
      <c r="D1" s="128"/>
      <c r="E1" s="128"/>
      <c r="F1" s="128"/>
      <c r="G1" s="128"/>
      <c r="H1" s="128"/>
    </row>
    <row r="2" spans="1:8" ht="23.25" x14ac:dyDescent="0.35">
      <c r="A2" s="128"/>
      <c r="B2" s="110" t="s">
        <v>208</v>
      </c>
      <c r="C2" s="128"/>
      <c r="D2" s="128"/>
      <c r="E2" s="128"/>
      <c r="F2" s="128"/>
      <c r="G2" s="128"/>
      <c r="H2" s="128"/>
    </row>
    <row r="3" spans="1:8" x14ac:dyDescent="0.25">
      <c r="A3" s="128"/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x14ac:dyDescent="0.25">
      <c r="A5" s="128"/>
      <c r="B5" s="128" t="s">
        <v>209</v>
      </c>
      <c r="C5" s="128"/>
      <c r="D5" s="128"/>
      <c r="E5" s="111" t="s">
        <v>76</v>
      </c>
      <c r="F5" s="111">
        <v>2019</v>
      </c>
      <c r="G5" s="128"/>
      <c r="H5" s="111">
        <v>2018</v>
      </c>
    </row>
    <row r="6" spans="1:8" x14ac:dyDescent="0.25">
      <c r="A6" s="128"/>
      <c r="B6" s="128"/>
      <c r="C6" s="128"/>
      <c r="D6" s="128"/>
      <c r="E6" s="111">
        <v>1</v>
      </c>
      <c r="F6" s="128"/>
      <c r="G6" s="128"/>
      <c r="H6" s="128"/>
    </row>
    <row r="7" spans="1:8" ht="15.75" x14ac:dyDescent="0.25">
      <c r="A7" s="128"/>
      <c r="B7" s="113" t="s">
        <v>210</v>
      </c>
      <c r="C7" s="128"/>
      <c r="D7" s="128"/>
      <c r="E7" s="111"/>
      <c r="F7" s="128"/>
      <c r="G7" s="128"/>
      <c r="H7" s="128"/>
    </row>
    <row r="8" spans="1:8" x14ac:dyDescent="0.25">
      <c r="A8" s="128"/>
      <c r="B8" s="128" t="s">
        <v>211</v>
      </c>
      <c r="C8" s="128"/>
      <c r="D8" s="128"/>
      <c r="E8" s="111"/>
      <c r="F8" s="118">
        <f>[1]Ark2!B7*-1</f>
        <v>1200000</v>
      </c>
      <c r="G8" s="128"/>
      <c r="H8" s="118"/>
    </row>
    <row r="9" spans="1:8" x14ac:dyDescent="0.25">
      <c r="A9" s="128"/>
      <c r="B9" s="128" t="s">
        <v>212</v>
      </c>
      <c r="C9" s="128"/>
      <c r="D9" s="128"/>
      <c r="E9" s="111">
        <v>2</v>
      </c>
      <c r="F9" s="118">
        <f>[1]Ark2!E15*-1+150000</f>
        <v>2400203</v>
      </c>
      <c r="G9" s="128"/>
      <c r="H9" s="118">
        <v>2035271</v>
      </c>
    </row>
    <row r="10" spans="1:8" x14ac:dyDescent="0.25">
      <c r="A10" s="128"/>
      <c r="B10" s="128" t="s">
        <v>213</v>
      </c>
      <c r="C10" s="128"/>
      <c r="D10" s="128"/>
      <c r="E10" s="111">
        <v>3</v>
      </c>
      <c r="F10" s="119">
        <f>[1]Ark2!E28*-1-150000</f>
        <v>4310350</v>
      </c>
      <c r="G10" s="128"/>
      <c r="H10" s="119">
        <v>4261645</v>
      </c>
    </row>
    <row r="11" spans="1:8" x14ac:dyDescent="0.25">
      <c r="A11" s="128"/>
      <c r="B11" s="128"/>
      <c r="C11" s="128"/>
      <c r="D11" s="128"/>
      <c r="E11" s="111"/>
      <c r="F11" s="118"/>
      <c r="G11" s="128"/>
      <c r="H11" s="118"/>
    </row>
    <row r="12" spans="1:8" ht="15.75" thickBot="1" x14ac:dyDescent="0.3">
      <c r="A12" s="128"/>
      <c r="B12" s="112" t="s">
        <v>214</v>
      </c>
      <c r="C12" s="128"/>
      <c r="D12" s="128"/>
      <c r="E12" s="111"/>
      <c r="F12" s="122">
        <f>F8+F9+F10</f>
        <v>7910553</v>
      </c>
      <c r="G12" s="128"/>
      <c r="H12" s="122">
        <f>H8+H9+H10</f>
        <v>6296916</v>
      </c>
    </row>
    <row r="13" spans="1:8" x14ac:dyDescent="0.25">
      <c r="A13" s="128"/>
      <c r="B13" s="128"/>
      <c r="C13" s="128"/>
      <c r="D13" s="128"/>
      <c r="E13" s="111"/>
      <c r="F13" s="118"/>
      <c r="G13" s="128"/>
      <c r="H13" s="118"/>
    </row>
    <row r="14" spans="1:8" ht="15.75" x14ac:dyDescent="0.25">
      <c r="A14" s="128"/>
      <c r="B14" s="113" t="s">
        <v>215</v>
      </c>
      <c r="C14" s="128"/>
      <c r="D14" s="128"/>
      <c r="E14" s="111"/>
      <c r="F14" s="118"/>
      <c r="G14" s="128"/>
      <c r="H14" s="118"/>
    </row>
    <row r="15" spans="1:8" x14ac:dyDescent="0.25">
      <c r="A15" s="128"/>
      <c r="B15" s="128" t="s">
        <v>216</v>
      </c>
      <c r="C15" s="128"/>
      <c r="D15" s="128"/>
      <c r="E15" s="111"/>
      <c r="F15" s="118"/>
      <c r="G15" s="128"/>
      <c r="H15" s="118"/>
    </row>
    <row r="16" spans="1:8" x14ac:dyDescent="0.25">
      <c r="A16" s="128"/>
      <c r="B16" s="128" t="s">
        <v>217</v>
      </c>
      <c r="C16" s="128"/>
      <c r="D16" s="128"/>
      <c r="E16" s="111">
        <v>4</v>
      </c>
      <c r="F16" s="118">
        <f>[1]Ark2!B47</f>
        <v>1659143</v>
      </c>
      <c r="G16" s="128"/>
      <c r="H16" s="118">
        <v>1325981</v>
      </c>
    </row>
    <row r="17" spans="1:8" x14ac:dyDescent="0.25">
      <c r="A17" s="128"/>
      <c r="B17" s="128" t="s">
        <v>218</v>
      </c>
      <c r="C17" s="128"/>
      <c r="D17" s="128"/>
      <c r="E17" s="111"/>
      <c r="F17" s="118">
        <f>[1]Ark2!F88</f>
        <v>1684751</v>
      </c>
      <c r="G17" s="128"/>
      <c r="H17" s="118">
        <v>1117205</v>
      </c>
    </row>
    <row r="18" spans="1:8" x14ac:dyDescent="0.25">
      <c r="A18" s="128"/>
      <c r="B18" s="128" t="s">
        <v>219</v>
      </c>
      <c r="C18" s="128"/>
      <c r="D18" s="128"/>
      <c r="E18" s="111">
        <v>5</v>
      </c>
      <c r="F18" s="119">
        <f>[1]Ark2!F93</f>
        <v>4743213</v>
      </c>
      <c r="G18" s="128"/>
      <c r="H18" s="119">
        <v>3553279</v>
      </c>
    </row>
    <row r="19" spans="1:8" x14ac:dyDescent="0.25">
      <c r="A19" s="128"/>
      <c r="B19" s="128"/>
      <c r="C19" s="128"/>
      <c r="D19" s="128"/>
      <c r="E19" s="111"/>
      <c r="F19" s="118"/>
      <c r="G19" s="128"/>
      <c r="H19" s="118"/>
    </row>
    <row r="20" spans="1:8" ht="15.75" thickBot="1" x14ac:dyDescent="0.3">
      <c r="A20" s="128"/>
      <c r="B20" s="112" t="s">
        <v>220</v>
      </c>
      <c r="C20" s="128"/>
      <c r="D20" s="128"/>
      <c r="E20" s="111"/>
      <c r="F20" s="120">
        <f>F15+F16+F17+F18</f>
        <v>8087107</v>
      </c>
      <c r="G20" s="128"/>
      <c r="H20" s="120">
        <f>H15+H16+H17+H18</f>
        <v>5996465</v>
      </c>
    </row>
    <row r="21" spans="1:8" x14ac:dyDescent="0.25">
      <c r="A21" s="128"/>
      <c r="B21" s="128"/>
      <c r="C21" s="128"/>
      <c r="D21" s="128"/>
      <c r="E21" s="111"/>
      <c r="F21" s="118"/>
      <c r="G21" s="128"/>
      <c r="H21" s="118"/>
    </row>
    <row r="22" spans="1:8" x14ac:dyDescent="0.25">
      <c r="A22" s="128"/>
      <c r="B22" s="112" t="s">
        <v>221</v>
      </c>
      <c r="C22" s="128"/>
      <c r="D22" s="128"/>
      <c r="E22" s="111"/>
      <c r="F22" s="118">
        <f>-F12+F20</f>
        <v>176554</v>
      </c>
      <c r="G22" s="128"/>
      <c r="H22" s="118">
        <f>-H12+H20</f>
        <v>-300451</v>
      </c>
    </row>
    <row r="23" spans="1:8" x14ac:dyDescent="0.25">
      <c r="A23" s="128"/>
      <c r="B23" s="128"/>
      <c r="C23" s="128"/>
      <c r="D23" s="128"/>
      <c r="E23" s="111"/>
      <c r="F23" s="118"/>
      <c r="G23" s="128"/>
      <c r="H23" s="118"/>
    </row>
    <row r="24" spans="1:8" x14ac:dyDescent="0.25">
      <c r="A24" s="128"/>
      <c r="B24" s="112" t="s">
        <v>222</v>
      </c>
      <c r="C24" s="128"/>
      <c r="D24" s="128"/>
      <c r="E24" s="111"/>
      <c r="F24" s="118"/>
      <c r="G24" s="128"/>
      <c r="H24" s="118"/>
    </row>
    <row r="25" spans="1:8" x14ac:dyDescent="0.25">
      <c r="A25" s="128"/>
      <c r="B25" s="128" t="s">
        <v>223</v>
      </c>
      <c r="C25" s="128"/>
      <c r="D25" s="128"/>
      <c r="E25" s="111"/>
      <c r="F25" s="118">
        <f>[1]Ark2!B102*-1</f>
        <v>24891</v>
      </c>
      <c r="G25" s="128"/>
      <c r="H25" s="118">
        <v>15515</v>
      </c>
    </row>
    <row r="26" spans="1:8" x14ac:dyDescent="0.25">
      <c r="A26" s="128"/>
      <c r="B26" s="128" t="s">
        <v>224</v>
      </c>
      <c r="C26" s="128"/>
      <c r="D26" s="128"/>
      <c r="E26" s="111"/>
      <c r="F26" s="119"/>
      <c r="G26" s="128"/>
      <c r="H26" s="119"/>
    </row>
    <row r="27" spans="1:8" x14ac:dyDescent="0.25">
      <c r="A27" s="128"/>
      <c r="B27" s="128"/>
      <c r="C27" s="128"/>
      <c r="D27" s="128"/>
      <c r="E27" s="111"/>
      <c r="F27" s="118"/>
      <c r="G27" s="128"/>
      <c r="H27" s="118"/>
    </row>
    <row r="28" spans="1:8" ht="15.75" thickBot="1" x14ac:dyDescent="0.3">
      <c r="A28" s="128"/>
      <c r="B28" s="112" t="s">
        <v>225</v>
      </c>
      <c r="C28" s="128"/>
      <c r="D28" s="128"/>
      <c r="E28" s="111"/>
      <c r="F28" s="120">
        <f>F25+F26</f>
        <v>24891</v>
      </c>
      <c r="G28" s="128"/>
      <c r="H28" s="120">
        <f>H25+H26</f>
        <v>15515</v>
      </c>
    </row>
    <row r="29" spans="1:8" x14ac:dyDescent="0.25">
      <c r="A29" s="128"/>
      <c r="B29" s="128"/>
      <c r="C29" s="128"/>
      <c r="D29" s="128"/>
      <c r="E29" s="111"/>
      <c r="F29" s="118"/>
      <c r="G29" s="128"/>
      <c r="H29" s="118"/>
    </row>
    <row r="30" spans="1:8" ht="15.75" thickBot="1" x14ac:dyDescent="0.3">
      <c r="A30" s="128"/>
      <c r="B30" s="112" t="s">
        <v>226</v>
      </c>
      <c r="C30" s="128"/>
      <c r="D30" s="128"/>
      <c r="E30" s="111"/>
      <c r="F30" s="121">
        <f>-F22+F28</f>
        <v>-151663</v>
      </c>
      <c r="G30" s="128"/>
      <c r="H30" s="121">
        <f>-H22+H28</f>
        <v>315966</v>
      </c>
    </row>
    <row r="31" spans="1:8" ht="15.75" thickTop="1" x14ac:dyDescent="0.25">
      <c r="A31" s="128"/>
      <c r="B31" s="128"/>
      <c r="C31" s="128"/>
      <c r="D31" s="128"/>
      <c r="E31" s="111"/>
      <c r="F31" s="118"/>
      <c r="G31" s="128"/>
      <c r="H31" s="118"/>
    </row>
    <row r="32" spans="1:8" x14ac:dyDescent="0.25">
      <c r="A32" s="128"/>
      <c r="B32" s="128"/>
      <c r="C32" s="128"/>
      <c r="D32" s="128"/>
      <c r="E32" s="111"/>
      <c r="F32" s="118"/>
      <c r="G32" s="128"/>
      <c r="H32" s="118"/>
    </row>
    <row r="33" spans="1:8" x14ac:dyDescent="0.25">
      <c r="A33" s="128"/>
      <c r="B33" s="112" t="s">
        <v>227</v>
      </c>
      <c r="C33" s="128"/>
      <c r="D33" s="128"/>
      <c r="E33" s="111"/>
      <c r="F33" s="118"/>
      <c r="G33" s="128"/>
      <c r="H33" s="118"/>
    </row>
    <row r="34" spans="1:8" x14ac:dyDescent="0.25">
      <c r="A34" s="128"/>
      <c r="B34" s="128" t="s">
        <v>228</v>
      </c>
      <c r="C34" s="128"/>
      <c r="D34" s="128"/>
      <c r="E34" s="111"/>
      <c r="F34" s="118">
        <f>F30</f>
        <v>-151663</v>
      </c>
      <c r="G34" s="128"/>
      <c r="H34" s="118">
        <f>H30</f>
        <v>315966</v>
      </c>
    </row>
    <row r="35" spans="1:8" x14ac:dyDescent="0.25">
      <c r="A35" s="128"/>
      <c r="B35" s="128" t="s">
        <v>229</v>
      </c>
      <c r="C35" s="128"/>
      <c r="D35" s="128"/>
      <c r="E35" s="111"/>
      <c r="F35" s="119"/>
      <c r="G35" s="128"/>
      <c r="H35" s="119"/>
    </row>
    <row r="36" spans="1:8" ht="15.75" thickBot="1" x14ac:dyDescent="0.3">
      <c r="A36" s="128"/>
      <c r="B36" s="112" t="s">
        <v>230</v>
      </c>
      <c r="C36" s="128"/>
      <c r="D36" s="128"/>
      <c r="E36" s="111"/>
      <c r="F36" s="181">
        <f>F34+F35</f>
        <v>-151663</v>
      </c>
      <c r="G36" s="128"/>
      <c r="H36" s="181">
        <f>H34+H35</f>
        <v>315966</v>
      </c>
    </row>
    <row r="37" spans="1:8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35BD-7968-4207-979B-4F5F43E90030}">
  <sheetPr>
    <tabColor theme="3" tint="0.39997558519241921"/>
  </sheetPr>
  <dimension ref="A1:H137"/>
  <sheetViews>
    <sheetView topLeftCell="A49" workbookViewId="0">
      <selection activeCell="L78" sqref="L78"/>
    </sheetView>
  </sheetViews>
  <sheetFormatPr baseColWidth="10" defaultRowHeight="15" x14ac:dyDescent="0.25"/>
  <sheetData>
    <row r="1" spans="1:8" x14ac:dyDescent="0.25">
      <c r="A1" s="128"/>
      <c r="B1" s="128"/>
      <c r="C1" s="128"/>
      <c r="D1" s="128"/>
      <c r="E1" s="128"/>
      <c r="F1" s="128"/>
      <c r="G1" s="128"/>
      <c r="H1" s="128"/>
    </row>
    <row r="2" spans="1:8" ht="23.25" x14ac:dyDescent="0.35">
      <c r="A2" s="128"/>
      <c r="B2" s="110" t="s">
        <v>231</v>
      </c>
      <c r="C2" s="128"/>
      <c r="D2" s="128"/>
      <c r="E2" s="128"/>
      <c r="F2" s="128"/>
      <c r="G2" s="128"/>
      <c r="H2" s="128"/>
    </row>
    <row r="3" spans="1:8" x14ac:dyDescent="0.25">
      <c r="A3" s="128"/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15.75" x14ac:dyDescent="0.25">
      <c r="A5" s="113" t="s">
        <v>232</v>
      </c>
      <c r="B5" s="182" t="s">
        <v>233</v>
      </c>
      <c r="C5" s="183"/>
      <c r="D5" s="183"/>
      <c r="E5" s="183"/>
      <c r="F5" s="183"/>
      <c r="G5" s="183"/>
      <c r="H5" s="183"/>
    </row>
    <row r="6" spans="1:8" x14ac:dyDescent="0.25">
      <c r="A6" s="128"/>
      <c r="B6" s="183" t="s">
        <v>234</v>
      </c>
      <c r="C6" s="183"/>
      <c r="D6" s="183"/>
      <c r="E6" s="183"/>
      <c r="F6" s="183"/>
      <c r="G6" s="183"/>
      <c r="H6" s="183"/>
    </row>
    <row r="7" spans="1:8" x14ac:dyDescent="0.25">
      <c r="A7" s="128"/>
      <c r="B7" s="183"/>
      <c r="C7" s="183"/>
      <c r="D7" s="183"/>
      <c r="E7" s="183"/>
      <c r="F7" s="183"/>
      <c r="G7" s="183"/>
      <c r="H7" s="183"/>
    </row>
    <row r="8" spans="1:8" x14ac:dyDescent="0.25">
      <c r="A8" s="128"/>
      <c r="B8" s="182" t="s">
        <v>235</v>
      </c>
      <c r="C8" s="183"/>
      <c r="D8" s="183"/>
      <c r="E8" s="183"/>
      <c r="F8" s="183"/>
      <c r="G8" s="183"/>
      <c r="H8" s="183"/>
    </row>
    <row r="9" spans="1:8" x14ac:dyDescent="0.25">
      <c r="A9" s="128"/>
      <c r="B9" s="183" t="s">
        <v>236</v>
      </c>
      <c r="C9" s="183"/>
      <c r="D9" s="183"/>
      <c r="E9" s="183"/>
      <c r="F9" s="183"/>
      <c r="G9" s="183"/>
      <c r="H9" s="183"/>
    </row>
    <row r="10" spans="1:8" x14ac:dyDescent="0.25">
      <c r="A10" s="128"/>
      <c r="B10" s="183" t="s">
        <v>237</v>
      </c>
      <c r="C10" s="183"/>
      <c r="D10" s="183"/>
      <c r="E10" s="183"/>
      <c r="F10" s="183"/>
      <c r="G10" s="183"/>
      <c r="H10" s="183"/>
    </row>
    <row r="11" spans="1:8" x14ac:dyDescent="0.25">
      <c r="A11" s="128"/>
      <c r="B11" s="183" t="s">
        <v>238</v>
      </c>
      <c r="C11" s="183"/>
      <c r="D11" s="183"/>
      <c r="E11" s="183"/>
      <c r="F11" s="183"/>
      <c r="G11" s="183"/>
      <c r="H11" s="183"/>
    </row>
    <row r="12" spans="1:8" x14ac:dyDescent="0.25">
      <c r="A12" s="128"/>
      <c r="B12" s="183"/>
      <c r="C12" s="183"/>
      <c r="D12" s="183"/>
      <c r="E12" s="183"/>
      <c r="F12" s="183"/>
      <c r="G12" s="183"/>
      <c r="H12" s="183"/>
    </row>
    <row r="13" spans="1:8" x14ac:dyDescent="0.25">
      <c r="A13" s="128"/>
      <c r="B13" s="183" t="s">
        <v>239</v>
      </c>
      <c r="C13" s="183"/>
      <c r="D13" s="183"/>
      <c r="E13" s="183"/>
      <c r="F13" s="183"/>
      <c r="G13" s="183"/>
      <c r="H13" s="183"/>
    </row>
    <row r="14" spans="1:8" x14ac:dyDescent="0.25">
      <c r="A14" s="128"/>
      <c r="B14" s="183"/>
      <c r="C14" s="183"/>
      <c r="D14" s="183"/>
      <c r="E14" s="183"/>
      <c r="F14" s="183"/>
      <c r="G14" s="183"/>
      <c r="H14" s="183"/>
    </row>
    <row r="15" spans="1:8" x14ac:dyDescent="0.25">
      <c r="A15" s="128"/>
      <c r="B15" s="183" t="s">
        <v>240</v>
      </c>
      <c r="C15" s="183"/>
      <c r="D15" s="183"/>
      <c r="E15" s="183"/>
      <c r="F15" s="183"/>
      <c r="G15" s="183"/>
      <c r="H15" s="183"/>
    </row>
    <row r="16" spans="1:8" x14ac:dyDescent="0.25">
      <c r="A16" s="128"/>
      <c r="B16" s="183"/>
      <c r="C16" s="183"/>
      <c r="D16" s="183"/>
      <c r="E16" s="183"/>
      <c r="F16" s="183"/>
      <c r="G16" s="183"/>
      <c r="H16" s="183"/>
    </row>
    <row r="17" spans="1:8" x14ac:dyDescent="0.25">
      <c r="A17" s="128"/>
      <c r="B17" s="182" t="s">
        <v>81</v>
      </c>
      <c r="C17" s="183"/>
      <c r="D17" s="183"/>
      <c r="E17" s="183"/>
      <c r="F17" s="183"/>
      <c r="G17" s="183"/>
      <c r="H17" s="183"/>
    </row>
    <row r="18" spans="1:8" x14ac:dyDescent="0.25">
      <c r="A18" s="128"/>
      <c r="B18" s="183" t="s">
        <v>241</v>
      </c>
      <c r="C18" s="183"/>
      <c r="D18" s="183"/>
      <c r="E18" s="183"/>
      <c r="F18" s="183"/>
      <c r="G18" s="183"/>
      <c r="H18" s="183"/>
    </row>
    <row r="19" spans="1:8" x14ac:dyDescent="0.25">
      <c r="A19" s="128"/>
      <c r="B19" s="183" t="s">
        <v>242</v>
      </c>
      <c r="C19" s="183"/>
      <c r="D19" s="183"/>
      <c r="E19" s="183"/>
      <c r="F19" s="183"/>
      <c r="G19" s="183"/>
      <c r="H19" s="183"/>
    </row>
    <row r="20" spans="1:8" x14ac:dyDescent="0.25">
      <c r="A20" s="128"/>
      <c r="B20" s="183"/>
      <c r="C20" s="183"/>
      <c r="D20" s="183"/>
      <c r="E20" s="183"/>
      <c r="F20" s="183"/>
      <c r="G20" s="183"/>
      <c r="H20" s="183"/>
    </row>
    <row r="21" spans="1:8" x14ac:dyDescent="0.25">
      <c r="A21" s="128"/>
      <c r="B21" s="182" t="s">
        <v>243</v>
      </c>
      <c r="C21" s="183"/>
      <c r="D21" s="183"/>
      <c r="E21" s="183"/>
      <c r="F21" s="183"/>
      <c r="G21" s="183"/>
      <c r="H21" s="183"/>
    </row>
    <row r="22" spans="1:8" x14ac:dyDescent="0.25">
      <c r="A22" s="128"/>
      <c r="B22" s="183" t="s">
        <v>244</v>
      </c>
      <c r="C22" s="183"/>
      <c r="D22" s="183"/>
      <c r="E22" s="183"/>
      <c r="F22" s="183"/>
      <c r="G22" s="183"/>
      <c r="H22" s="183"/>
    </row>
    <row r="23" spans="1:8" x14ac:dyDescent="0.25">
      <c r="A23" s="128"/>
      <c r="B23" s="183" t="s">
        <v>245</v>
      </c>
      <c r="C23" s="183"/>
      <c r="D23" s="183"/>
      <c r="E23" s="183"/>
      <c r="F23" s="183"/>
      <c r="G23" s="183"/>
      <c r="H23" s="183"/>
    </row>
    <row r="24" spans="1:8" x14ac:dyDescent="0.25">
      <c r="A24" s="128"/>
      <c r="B24" s="183"/>
      <c r="C24" s="183"/>
      <c r="D24" s="183"/>
      <c r="E24" s="183"/>
      <c r="F24" s="183"/>
      <c r="G24" s="183"/>
      <c r="H24" s="183"/>
    </row>
    <row r="25" spans="1:8" x14ac:dyDescent="0.25">
      <c r="A25" s="128"/>
      <c r="B25" s="182" t="s">
        <v>246</v>
      </c>
      <c r="C25" s="183"/>
      <c r="D25" s="183"/>
      <c r="E25" s="183"/>
      <c r="F25" s="183"/>
      <c r="G25" s="183"/>
      <c r="H25" s="183"/>
    </row>
    <row r="26" spans="1:8" x14ac:dyDescent="0.25">
      <c r="A26" s="128"/>
      <c r="B26" s="183" t="s">
        <v>247</v>
      </c>
      <c r="C26" s="183"/>
      <c r="D26" s="183"/>
      <c r="E26" s="183"/>
      <c r="F26" s="183"/>
      <c r="G26" s="183"/>
      <c r="H26" s="183"/>
    </row>
    <row r="27" spans="1:8" x14ac:dyDescent="0.25">
      <c r="A27" s="128"/>
      <c r="B27" s="183" t="s">
        <v>248</v>
      </c>
      <c r="C27" s="183"/>
      <c r="D27" s="183"/>
      <c r="E27" s="183"/>
      <c r="F27" s="183"/>
      <c r="G27" s="183"/>
      <c r="H27" s="183"/>
    </row>
    <row r="28" spans="1:8" x14ac:dyDescent="0.25">
      <c r="A28" s="128"/>
      <c r="B28" s="183"/>
      <c r="C28" s="183"/>
      <c r="D28" s="183"/>
      <c r="E28" s="183"/>
      <c r="F28" s="183"/>
      <c r="G28" s="183"/>
      <c r="H28" s="183"/>
    </row>
    <row r="29" spans="1:8" x14ac:dyDescent="0.25">
      <c r="A29" s="128"/>
      <c r="B29" s="182" t="s">
        <v>249</v>
      </c>
      <c r="C29" s="183"/>
      <c r="D29" s="183"/>
      <c r="E29" s="183"/>
      <c r="F29" s="183"/>
      <c r="G29" s="183"/>
      <c r="H29" s="183"/>
    </row>
    <row r="30" spans="1:8" x14ac:dyDescent="0.25">
      <c r="A30" s="128"/>
      <c r="B30" s="183" t="s">
        <v>250</v>
      </c>
      <c r="C30" s="183"/>
      <c r="D30" s="183"/>
      <c r="E30" s="183"/>
      <c r="F30" s="183"/>
      <c r="G30" s="183"/>
      <c r="H30" s="183"/>
    </row>
    <row r="31" spans="1:8" x14ac:dyDescent="0.25">
      <c r="A31" s="128"/>
      <c r="B31" s="183" t="s">
        <v>251</v>
      </c>
      <c r="C31" s="183"/>
      <c r="D31" s="183"/>
      <c r="E31" s="183"/>
      <c r="F31" s="183"/>
      <c r="G31" s="183"/>
      <c r="H31" s="183"/>
    </row>
    <row r="32" spans="1:8" x14ac:dyDescent="0.25">
      <c r="A32" s="128"/>
      <c r="B32" s="183" t="s">
        <v>252</v>
      </c>
      <c r="C32" s="183"/>
      <c r="D32" s="183"/>
      <c r="E32" s="183"/>
      <c r="F32" s="183"/>
      <c r="G32" s="183"/>
      <c r="H32" s="183"/>
    </row>
    <row r="33" spans="1:8" x14ac:dyDescent="0.25">
      <c r="A33" s="128"/>
      <c r="B33" s="183"/>
      <c r="C33" s="183"/>
      <c r="D33" s="183"/>
      <c r="E33" s="183"/>
      <c r="F33" s="183"/>
      <c r="G33" s="183"/>
      <c r="H33" s="183"/>
    </row>
    <row r="34" spans="1:8" x14ac:dyDescent="0.25">
      <c r="A34" s="128"/>
      <c r="B34" s="182" t="s">
        <v>253</v>
      </c>
      <c r="C34" s="183"/>
      <c r="D34" s="183"/>
      <c r="E34" s="183"/>
      <c r="F34" s="183"/>
      <c r="G34" s="183"/>
      <c r="H34" s="183"/>
    </row>
    <row r="35" spans="1:8" x14ac:dyDescent="0.25">
      <c r="A35" s="128"/>
      <c r="B35" s="183" t="s">
        <v>254</v>
      </c>
      <c r="C35" s="183"/>
      <c r="D35" s="183"/>
      <c r="E35" s="183"/>
      <c r="F35" s="183"/>
      <c r="G35" s="183"/>
      <c r="H35" s="183"/>
    </row>
    <row r="36" spans="1:8" x14ac:dyDescent="0.25">
      <c r="A36" s="128"/>
      <c r="B36" s="128"/>
      <c r="C36" s="128"/>
      <c r="D36" s="128"/>
      <c r="E36" s="128"/>
      <c r="F36" s="128"/>
      <c r="G36" s="128"/>
      <c r="H36" s="128"/>
    </row>
    <row r="37" spans="1:8" x14ac:dyDescent="0.25">
      <c r="A37" s="128"/>
      <c r="B37" s="128"/>
      <c r="C37" s="128"/>
      <c r="D37" s="128"/>
      <c r="E37" s="128"/>
      <c r="F37" s="128"/>
      <c r="G37" s="128"/>
      <c r="H37" s="128"/>
    </row>
    <row r="38" spans="1:8" ht="15.75" x14ac:dyDescent="0.25">
      <c r="A38" s="113" t="s">
        <v>255</v>
      </c>
      <c r="B38" s="113" t="s">
        <v>212</v>
      </c>
      <c r="C38" s="128"/>
      <c r="D38" s="128"/>
      <c r="E38" s="128"/>
      <c r="F38" s="128"/>
      <c r="G38" s="128"/>
      <c r="H38" s="128"/>
    </row>
    <row r="39" spans="1:8" x14ac:dyDescent="0.25">
      <c r="A39" s="128"/>
      <c r="B39" s="184"/>
      <c r="C39" s="184"/>
      <c r="D39" s="185">
        <v>2019</v>
      </c>
      <c r="E39" s="185">
        <v>2018</v>
      </c>
      <c r="F39" s="128"/>
      <c r="G39" s="128"/>
      <c r="H39" s="128"/>
    </row>
    <row r="40" spans="1:8" x14ac:dyDescent="0.25">
      <c r="A40" s="128"/>
      <c r="B40" s="186" t="s">
        <v>256</v>
      </c>
      <c r="C40" s="187"/>
      <c r="D40" s="188">
        <f>1020000+136200</f>
        <v>1156200</v>
      </c>
      <c r="E40" s="188">
        <v>1007000</v>
      </c>
      <c r="F40" s="128"/>
      <c r="G40" s="128"/>
      <c r="H40" s="128"/>
    </row>
    <row r="41" spans="1:8" x14ac:dyDescent="0.25">
      <c r="A41" s="128"/>
      <c r="B41" s="186" t="s">
        <v>257</v>
      </c>
      <c r="C41" s="187"/>
      <c r="D41" s="188">
        <f>114579+150000</f>
        <v>264579</v>
      </c>
      <c r="E41" s="188">
        <v>81670</v>
      </c>
      <c r="F41" s="128"/>
      <c r="G41" s="128"/>
      <c r="H41" s="128"/>
    </row>
    <row r="42" spans="1:8" x14ac:dyDescent="0.25">
      <c r="A42" s="128"/>
      <c r="B42" s="186" t="s">
        <v>258</v>
      </c>
      <c r="C42" s="187"/>
      <c r="D42" s="188"/>
      <c r="E42" s="188"/>
      <c r="F42" s="128"/>
      <c r="G42" s="128"/>
      <c r="H42" s="128"/>
    </row>
    <row r="43" spans="1:8" x14ac:dyDescent="0.25">
      <c r="A43" s="128"/>
      <c r="B43" s="186" t="s">
        <v>259</v>
      </c>
      <c r="C43" s="187"/>
      <c r="D43" s="188"/>
      <c r="E43" s="188"/>
      <c r="F43" s="128"/>
      <c r="G43" s="128"/>
      <c r="H43" s="128"/>
    </row>
    <row r="44" spans="1:8" x14ac:dyDescent="0.25">
      <c r="A44" s="128"/>
      <c r="B44" s="186" t="s">
        <v>260</v>
      </c>
      <c r="C44" s="187"/>
      <c r="D44" s="188">
        <v>31680</v>
      </c>
      <c r="E44" s="188">
        <v>25872</v>
      </c>
      <c r="F44" s="128"/>
      <c r="G44" s="128"/>
      <c r="H44" s="128"/>
    </row>
    <row r="45" spans="1:8" x14ac:dyDescent="0.25">
      <c r="A45" s="128"/>
      <c r="B45" s="186" t="s">
        <v>261</v>
      </c>
      <c r="C45" s="187"/>
      <c r="D45" s="188">
        <v>1083944</v>
      </c>
      <c r="E45" s="188">
        <v>920729</v>
      </c>
      <c r="F45" s="128"/>
      <c r="G45" s="128"/>
      <c r="H45" s="128"/>
    </row>
    <row r="46" spans="1:8" x14ac:dyDescent="0.25">
      <c r="A46" s="128"/>
      <c r="B46" s="189" t="s">
        <v>29</v>
      </c>
      <c r="C46" s="190"/>
      <c r="D46" s="191">
        <f>D40+D41+D44+D45-136200</f>
        <v>2400203</v>
      </c>
      <c r="E46" s="191">
        <f>E40+E41+E44+E45</f>
        <v>2035271</v>
      </c>
      <c r="F46" s="128"/>
      <c r="G46" s="128"/>
      <c r="H46" s="128"/>
    </row>
    <row r="47" spans="1:8" x14ac:dyDescent="0.25">
      <c r="A47" s="128"/>
      <c r="B47" s="186"/>
      <c r="C47" s="186"/>
      <c r="D47" s="186"/>
      <c r="E47" s="186"/>
      <c r="F47" s="128"/>
      <c r="G47" s="128"/>
      <c r="H47" s="128"/>
    </row>
    <row r="48" spans="1:8" x14ac:dyDescent="0.25">
      <c r="A48" s="128"/>
      <c r="B48" s="128"/>
      <c r="C48" s="128"/>
      <c r="D48" s="128"/>
      <c r="E48" s="128"/>
      <c r="F48" s="128"/>
      <c r="G48" s="128"/>
      <c r="H48" s="128"/>
    </row>
    <row r="49" spans="1:8" x14ac:dyDescent="0.25">
      <c r="A49" s="128"/>
      <c r="B49" s="128"/>
      <c r="C49" s="128"/>
      <c r="D49" s="128"/>
      <c r="E49" s="128"/>
      <c r="F49" s="128"/>
      <c r="G49" s="128"/>
      <c r="H49" s="128"/>
    </row>
    <row r="50" spans="1:8" x14ac:dyDescent="0.25">
      <c r="A50" s="128"/>
      <c r="B50" s="128"/>
      <c r="C50" s="128"/>
      <c r="D50" s="128"/>
      <c r="E50" s="128"/>
      <c r="F50" s="128"/>
      <c r="G50" s="128"/>
      <c r="H50" s="128"/>
    </row>
    <row r="51" spans="1:8" ht="15.75" x14ac:dyDescent="0.25">
      <c r="A51" s="113" t="s">
        <v>6</v>
      </c>
      <c r="B51" s="113" t="s">
        <v>213</v>
      </c>
      <c r="C51" s="128"/>
      <c r="D51" s="128"/>
      <c r="E51" s="128"/>
      <c r="F51" s="128"/>
      <c r="G51" s="128"/>
      <c r="H51" s="128"/>
    </row>
    <row r="52" spans="1:8" x14ac:dyDescent="0.25">
      <c r="A52" s="128"/>
      <c r="B52" s="184"/>
      <c r="C52" s="184"/>
      <c r="D52" s="185">
        <v>2019</v>
      </c>
      <c r="E52" s="185">
        <v>2018</v>
      </c>
      <c r="F52" s="128"/>
      <c r="G52" s="128"/>
      <c r="H52" s="128"/>
    </row>
    <row r="53" spans="1:8" x14ac:dyDescent="0.25">
      <c r="A53" s="128"/>
      <c r="B53" s="186" t="s">
        <v>262</v>
      </c>
      <c r="C53" s="187"/>
      <c r="D53" s="188">
        <v>595890</v>
      </c>
      <c r="E53" s="188">
        <v>629800</v>
      </c>
      <c r="F53" s="128"/>
      <c r="G53" s="128"/>
      <c r="H53" s="128"/>
    </row>
    <row r="54" spans="1:8" x14ac:dyDescent="0.25">
      <c r="A54" s="128"/>
      <c r="B54" s="186" t="s">
        <v>263</v>
      </c>
      <c r="C54" s="187"/>
      <c r="D54" s="188">
        <v>1592424</v>
      </c>
      <c r="E54" s="188">
        <v>1492541</v>
      </c>
      <c r="F54" s="128"/>
      <c r="G54" s="128"/>
      <c r="H54" s="128"/>
    </row>
    <row r="55" spans="1:8" x14ac:dyDescent="0.25">
      <c r="A55" s="128"/>
      <c r="B55" s="186" t="s">
        <v>264</v>
      </c>
      <c r="C55" s="187"/>
      <c r="D55" s="188">
        <v>0</v>
      </c>
      <c r="E55" s="188">
        <v>0</v>
      </c>
      <c r="F55" s="128"/>
      <c r="G55" s="128"/>
      <c r="H55" s="128"/>
    </row>
    <row r="56" spans="1:8" x14ac:dyDescent="0.25">
      <c r="A56" s="128"/>
      <c r="B56" s="186" t="s">
        <v>265</v>
      </c>
      <c r="C56" s="187"/>
      <c r="D56" s="188">
        <v>120332</v>
      </c>
      <c r="E56" s="188">
        <v>114600</v>
      </c>
      <c r="F56" s="128"/>
      <c r="G56" s="128"/>
      <c r="H56" s="128"/>
    </row>
    <row r="57" spans="1:8" x14ac:dyDescent="0.25">
      <c r="A57" s="128"/>
      <c r="B57" s="186" t="s">
        <v>266</v>
      </c>
      <c r="C57" s="187"/>
      <c r="D57" s="188">
        <v>465625</v>
      </c>
      <c r="E57" s="188">
        <v>378466</v>
      </c>
      <c r="F57" s="128"/>
      <c r="G57" s="128"/>
      <c r="H57" s="128"/>
    </row>
    <row r="58" spans="1:8" x14ac:dyDescent="0.25">
      <c r="A58" s="128"/>
      <c r="B58" s="186" t="s">
        <v>267</v>
      </c>
      <c r="C58" s="187"/>
      <c r="D58" s="188">
        <v>0</v>
      </c>
      <c r="E58" s="188">
        <v>0</v>
      </c>
      <c r="F58" s="128"/>
      <c r="G58" s="128"/>
      <c r="H58" s="128"/>
    </row>
    <row r="59" spans="1:8" x14ac:dyDescent="0.25">
      <c r="A59" s="128"/>
      <c r="B59" s="186" t="s">
        <v>165</v>
      </c>
      <c r="C59" s="187"/>
      <c r="D59" s="188">
        <v>0</v>
      </c>
      <c r="E59" s="188">
        <v>800000</v>
      </c>
      <c r="F59" s="128"/>
      <c r="G59" s="128"/>
      <c r="H59" s="128"/>
    </row>
    <row r="60" spans="1:8" x14ac:dyDescent="0.25">
      <c r="A60" s="128"/>
      <c r="B60" s="186" t="s">
        <v>268</v>
      </c>
      <c r="C60" s="187"/>
      <c r="D60" s="188">
        <f>1686079-150000</f>
        <v>1536079</v>
      </c>
      <c r="E60" s="188">
        <v>846238</v>
      </c>
      <c r="F60" s="128"/>
      <c r="G60" s="128"/>
      <c r="H60" s="128"/>
    </row>
    <row r="61" spans="1:8" x14ac:dyDescent="0.25">
      <c r="A61" s="128"/>
      <c r="B61" s="189" t="s">
        <v>29</v>
      </c>
      <c r="C61" s="190"/>
      <c r="D61" s="191">
        <f>SUM(D53:D60)</f>
        <v>4310350</v>
      </c>
      <c r="E61" s="191">
        <f>E53+E54+E55+E56+E57+E58+E60</f>
        <v>3461645</v>
      </c>
      <c r="F61" s="128"/>
      <c r="G61" s="128"/>
      <c r="H61" s="128"/>
    </row>
    <row r="62" spans="1:8" x14ac:dyDescent="0.25">
      <c r="A62" s="128"/>
      <c r="B62" s="128"/>
      <c r="C62" s="128"/>
      <c r="D62" s="128"/>
      <c r="E62" s="128"/>
      <c r="F62" s="128"/>
      <c r="G62" s="128"/>
      <c r="H62" s="128"/>
    </row>
    <row r="63" spans="1:8" x14ac:dyDescent="0.25">
      <c r="A63" s="128"/>
      <c r="B63" s="128"/>
      <c r="C63" s="128"/>
      <c r="D63" s="128"/>
      <c r="E63" s="128"/>
      <c r="F63" s="128"/>
      <c r="G63" s="128"/>
      <c r="H63" s="128"/>
    </row>
    <row r="64" spans="1:8" ht="15.75" x14ac:dyDescent="0.25">
      <c r="A64" s="113" t="s">
        <v>269</v>
      </c>
      <c r="B64" s="113" t="s">
        <v>217</v>
      </c>
      <c r="C64" s="128"/>
      <c r="D64" s="128"/>
      <c r="E64" s="128"/>
      <c r="F64" s="128"/>
      <c r="G64" s="128"/>
      <c r="H64" s="128"/>
    </row>
    <row r="65" spans="1:8" x14ac:dyDescent="0.25">
      <c r="A65" s="128"/>
      <c r="B65" s="184"/>
      <c r="C65" s="184"/>
      <c r="D65" s="185">
        <v>2019</v>
      </c>
      <c r="E65" s="185">
        <v>2018</v>
      </c>
      <c r="F65" s="128"/>
      <c r="G65" s="128"/>
      <c r="H65" s="128"/>
    </row>
    <row r="66" spans="1:8" x14ac:dyDescent="0.25">
      <c r="A66" s="128"/>
      <c r="B66" s="186" t="s">
        <v>270</v>
      </c>
      <c r="C66" s="187"/>
      <c r="D66" s="188"/>
      <c r="E66" s="188">
        <v>687845</v>
      </c>
      <c r="F66" s="128"/>
      <c r="G66" s="128"/>
      <c r="H66" s="128"/>
    </row>
    <row r="67" spans="1:8" x14ac:dyDescent="0.25">
      <c r="A67" s="128"/>
      <c r="B67" s="186" t="s">
        <v>271</v>
      </c>
      <c r="C67" s="187"/>
      <c r="D67" s="188">
        <v>1316632</v>
      </c>
      <c r="E67" s="188">
        <v>486789</v>
      </c>
      <c r="F67" s="128"/>
      <c r="G67" s="128"/>
      <c r="H67" s="128"/>
    </row>
    <row r="68" spans="1:8" x14ac:dyDescent="0.25">
      <c r="A68" s="128"/>
      <c r="B68" s="186" t="s">
        <v>272</v>
      </c>
      <c r="C68" s="187"/>
      <c r="D68" s="188">
        <v>174694</v>
      </c>
      <c r="E68" s="188">
        <v>76165</v>
      </c>
      <c r="F68" s="128"/>
      <c r="G68" s="128"/>
      <c r="H68" s="128"/>
    </row>
    <row r="69" spans="1:8" x14ac:dyDescent="0.25">
      <c r="A69" s="128"/>
      <c r="B69" s="186" t="s">
        <v>273</v>
      </c>
      <c r="C69" s="187"/>
      <c r="D69" s="188">
        <v>44312</v>
      </c>
      <c r="E69" s="188">
        <v>53387</v>
      </c>
      <c r="F69" s="128"/>
      <c r="G69" s="128"/>
      <c r="H69" s="128"/>
    </row>
    <row r="70" spans="1:8" x14ac:dyDescent="0.25">
      <c r="A70" s="128"/>
      <c r="B70" s="186" t="s">
        <v>274</v>
      </c>
      <c r="C70" s="187"/>
      <c r="D70" s="188">
        <v>22619</v>
      </c>
      <c r="E70" s="188">
        <v>58190</v>
      </c>
      <c r="F70" s="128"/>
      <c r="G70" s="128"/>
      <c r="H70" s="128"/>
    </row>
    <row r="71" spans="1:8" x14ac:dyDescent="0.25">
      <c r="A71" s="128"/>
      <c r="B71" s="186" t="s">
        <v>275</v>
      </c>
      <c r="C71" s="187"/>
      <c r="D71" s="188">
        <v>100886</v>
      </c>
      <c r="E71" s="188">
        <v>100000</v>
      </c>
      <c r="F71" s="128"/>
      <c r="G71" s="128"/>
      <c r="H71" s="128"/>
    </row>
    <row r="72" spans="1:8" x14ac:dyDescent="0.25">
      <c r="A72" s="128"/>
      <c r="B72" s="189" t="s">
        <v>29</v>
      </c>
      <c r="C72" s="190"/>
      <c r="D72" s="191">
        <f>SUM(D66:D71)</f>
        <v>1659143</v>
      </c>
      <c r="E72" s="191">
        <f>E66+E67+E68+E69+E70+E71</f>
        <v>1462376</v>
      </c>
      <c r="F72" s="128"/>
      <c r="G72" s="128"/>
      <c r="H72" s="128"/>
    </row>
    <row r="73" spans="1:8" x14ac:dyDescent="0.25">
      <c r="A73" s="128"/>
      <c r="B73" s="128"/>
      <c r="C73" s="128"/>
      <c r="D73" s="128"/>
      <c r="E73" s="128"/>
      <c r="F73" s="128"/>
      <c r="G73" s="128"/>
      <c r="H73" s="128"/>
    </row>
    <row r="74" spans="1:8" x14ac:dyDescent="0.25">
      <c r="A74" s="128"/>
      <c r="B74" s="192" t="s">
        <v>276</v>
      </c>
      <c r="C74" s="193"/>
      <c r="D74" s="193">
        <v>2</v>
      </c>
      <c r="E74" s="193">
        <v>2</v>
      </c>
      <c r="F74" s="194"/>
      <c r="G74" s="194"/>
      <c r="H74" s="194"/>
    </row>
    <row r="75" spans="1:8" x14ac:dyDescent="0.25">
      <c r="A75" s="128"/>
      <c r="B75" s="192"/>
      <c r="C75" s="193"/>
      <c r="D75" s="194"/>
      <c r="E75" s="194"/>
      <c r="F75" s="194"/>
      <c r="G75" s="194"/>
      <c r="H75" s="194"/>
    </row>
    <row r="76" spans="1:8" x14ac:dyDescent="0.25">
      <c r="A76" s="128"/>
      <c r="B76" s="195" t="s">
        <v>277</v>
      </c>
      <c r="C76" s="196"/>
      <c r="D76" s="195"/>
      <c r="E76" s="195"/>
      <c r="F76" s="195"/>
      <c r="G76" s="195"/>
      <c r="H76" s="195"/>
    </row>
    <row r="77" spans="1:8" x14ac:dyDescent="0.25">
      <c r="A77" s="128"/>
      <c r="B77" s="195"/>
      <c r="C77" s="196"/>
      <c r="D77" s="195"/>
      <c r="E77" s="195"/>
      <c r="F77" s="195"/>
      <c r="G77" s="195"/>
      <c r="H77" s="195"/>
    </row>
    <row r="78" spans="1:8" x14ac:dyDescent="0.25">
      <c r="A78" s="128"/>
      <c r="B78" s="195" t="s">
        <v>278</v>
      </c>
      <c r="C78" s="196"/>
      <c r="D78" s="195"/>
      <c r="E78" s="195"/>
      <c r="F78" s="195"/>
      <c r="G78" s="195"/>
      <c r="H78" s="195"/>
    </row>
    <row r="79" spans="1:8" x14ac:dyDescent="0.25">
      <c r="A79" s="128"/>
      <c r="B79" s="195" t="s">
        <v>279</v>
      </c>
      <c r="C79" s="196" t="s">
        <v>280</v>
      </c>
      <c r="D79" s="195"/>
      <c r="E79" s="195"/>
      <c r="F79" s="195"/>
      <c r="G79" s="195"/>
      <c r="H79" s="195"/>
    </row>
    <row r="80" spans="1:8" x14ac:dyDescent="0.25">
      <c r="A80" s="128"/>
      <c r="B80" s="195"/>
      <c r="C80" s="196"/>
      <c r="D80" s="195"/>
      <c r="E80" s="195"/>
      <c r="F80" s="195"/>
      <c r="G80" s="195"/>
      <c r="H80" s="195"/>
    </row>
    <row r="81" spans="1:8" x14ac:dyDescent="0.25">
      <c r="A81" s="128"/>
      <c r="B81" s="195" t="s">
        <v>281</v>
      </c>
      <c r="C81" s="196"/>
      <c r="D81" s="195"/>
      <c r="E81" s="195"/>
      <c r="F81" s="195"/>
      <c r="G81" s="195"/>
      <c r="H81" s="195"/>
    </row>
    <row r="82" spans="1:8" x14ac:dyDescent="0.25">
      <c r="A82" s="128"/>
      <c r="B82" s="197"/>
      <c r="C82" s="196"/>
      <c r="D82" s="195"/>
      <c r="E82" s="195"/>
      <c r="F82" s="195"/>
      <c r="G82" s="195"/>
      <c r="H82" s="195"/>
    </row>
    <row r="83" spans="1:8" x14ac:dyDescent="0.25">
      <c r="A83" s="128"/>
      <c r="B83" s="195" t="s">
        <v>282</v>
      </c>
      <c r="C83" s="196"/>
      <c r="D83" s="195"/>
      <c r="E83" s="195"/>
      <c r="F83" s="195"/>
      <c r="G83" s="195"/>
      <c r="H83" s="195"/>
    </row>
    <row r="84" spans="1:8" x14ac:dyDescent="0.25">
      <c r="A84" s="128"/>
      <c r="B84" s="195"/>
      <c r="C84" s="196"/>
      <c r="D84" s="195"/>
      <c r="E84" s="195"/>
      <c r="F84" s="195"/>
      <c r="G84" s="195"/>
      <c r="H84" s="195"/>
    </row>
    <row r="85" spans="1:8" x14ac:dyDescent="0.25">
      <c r="A85" s="128"/>
      <c r="B85" s="195" t="s">
        <v>283</v>
      </c>
      <c r="C85" s="196"/>
      <c r="D85" s="195"/>
      <c r="E85" s="195"/>
      <c r="F85" s="195"/>
      <c r="G85" s="195"/>
      <c r="H85" s="195"/>
    </row>
    <row r="86" spans="1:8" x14ac:dyDescent="0.25">
      <c r="A86" s="128"/>
      <c r="B86" s="195" t="s">
        <v>284</v>
      </c>
      <c r="C86" s="196"/>
      <c r="D86" s="195"/>
      <c r="E86" s="195"/>
      <c r="F86" s="195"/>
      <c r="G86" s="195"/>
      <c r="H86" s="195"/>
    </row>
    <row r="87" spans="1:8" x14ac:dyDescent="0.25">
      <c r="A87" s="128"/>
      <c r="B87" s="128"/>
      <c r="C87" s="128"/>
      <c r="D87" s="128"/>
      <c r="E87" s="128"/>
      <c r="F87" s="128"/>
      <c r="G87" s="128"/>
      <c r="H87" s="128"/>
    </row>
    <row r="88" spans="1:8" ht="15.75" x14ac:dyDescent="0.25">
      <c r="A88" s="113" t="s">
        <v>285</v>
      </c>
      <c r="B88" s="113" t="s">
        <v>286</v>
      </c>
      <c r="C88" s="128"/>
      <c r="D88" s="128"/>
      <c r="E88" s="128"/>
      <c r="F88" s="128"/>
      <c r="G88" s="128"/>
      <c r="H88" s="128"/>
    </row>
    <row r="89" spans="1:8" x14ac:dyDescent="0.25">
      <c r="A89" s="128"/>
      <c r="B89" s="184"/>
      <c r="C89" s="184"/>
      <c r="D89" s="185">
        <v>2019</v>
      </c>
      <c r="E89" s="185">
        <v>2018</v>
      </c>
      <c r="F89" s="128"/>
      <c r="G89" s="128"/>
      <c r="H89" s="128"/>
    </row>
    <row r="90" spans="1:8" x14ac:dyDescent="0.25">
      <c r="A90" s="128"/>
      <c r="B90" s="186" t="s">
        <v>287</v>
      </c>
      <c r="C90" s="187"/>
      <c r="D90" s="188">
        <v>263398</v>
      </c>
      <c r="E90" s="188">
        <v>340372</v>
      </c>
      <c r="F90" s="128"/>
      <c r="G90" s="128"/>
      <c r="H90" s="128"/>
    </row>
    <row r="91" spans="1:8" x14ac:dyDescent="0.25">
      <c r="A91" s="128"/>
      <c r="B91" s="186" t="s">
        <v>288</v>
      </c>
      <c r="C91" s="187"/>
      <c r="D91" s="188">
        <v>9936</v>
      </c>
      <c r="E91" s="188">
        <v>52076</v>
      </c>
      <c r="F91" s="128"/>
      <c r="G91" s="128"/>
      <c r="H91" s="128"/>
    </row>
    <row r="92" spans="1:8" x14ac:dyDescent="0.25">
      <c r="A92" s="128"/>
      <c r="B92" s="186" t="s">
        <v>289</v>
      </c>
      <c r="C92" s="187"/>
      <c r="D92" s="188">
        <v>441386</v>
      </c>
      <c r="E92" s="188">
        <v>126532</v>
      </c>
      <c r="F92" s="128"/>
      <c r="G92" s="128"/>
      <c r="H92" s="128"/>
    </row>
    <row r="93" spans="1:8" x14ac:dyDescent="0.25">
      <c r="A93" s="128"/>
      <c r="B93" s="186" t="s">
        <v>290</v>
      </c>
      <c r="C93" s="187"/>
      <c r="D93" s="188">
        <v>161437</v>
      </c>
      <c r="E93" s="188">
        <v>187429</v>
      </c>
      <c r="F93" s="128"/>
      <c r="G93" s="128"/>
      <c r="H93" s="128"/>
    </row>
    <row r="94" spans="1:8" x14ac:dyDescent="0.25">
      <c r="A94" s="128"/>
      <c r="B94" s="186" t="s">
        <v>291</v>
      </c>
      <c r="C94" s="187"/>
      <c r="D94" s="188">
        <v>118177</v>
      </c>
      <c r="E94" s="188">
        <v>103849</v>
      </c>
      <c r="F94" s="128"/>
      <c r="G94" s="128"/>
      <c r="H94" s="128"/>
    </row>
    <row r="95" spans="1:8" x14ac:dyDescent="0.25">
      <c r="A95" s="128"/>
      <c r="B95" s="186" t="s">
        <v>292</v>
      </c>
      <c r="C95" s="187"/>
      <c r="D95" s="188">
        <v>0</v>
      </c>
      <c r="E95" s="188">
        <v>11310</v>
      </c>
      <c r="F95" s="128"/>
      <c r="G95" s="128"/>
      <c r="H95" s="128"/>
    </row>
    <row r="96" spans="1:8" x14ac:dyDescent="0.25">
      <c r="A96" s="128"/>
      <c r="B96" s="186" t="s">
        <v>293</v>
      </c>
      <c r="C96" s="187"/>
      <c r="D96" s="188">
        <v>2812577</v>
      </c>
      <c r="E96" s="188">
        <v>2311567</v>
      </c>
      <c r="F96" s="128"/>
      <c r="G96" s="128"/>
      <c r="H96" s="128"/>
    </row>
    <row r="97" spans="1:8" x14ac:dyDescent="0.25">
      <c r="A97" s="128"/>
      <c r="B97" s="186" t="s">
        <v>294</v>
      </c>
      <c r="C97" s="187"/>
      <c r="D97" s="188">
        <f>892246+44056</f>
        <v>936302</v>
      </c>
      <c r="E97" s="188">
        <v>641235</v>
      </c>
      <c r="F97" s="128"/>
      <c r="G97" s="128"/>
      <c r="H97" s="128"/>
    </row>
    <row r="98" spans="1:8" x14ac:dyDescent="0.25">
      <c r="A98" s="128"/>
      <c r="B98" s="189" t="s">
        <v>29</v>
      </c>
      <c r="C98" s="190"/>
      <c r="D98" s="191">
        <f>D90+D91+D92+D93+D94+D96+D97</f>
        <v>4743213</v>
      </c>
      <c r="E98" s="191">
        <f>E90+E91+E92+E93+E94+E96+E97</f>
        <v>3763060</v>
      </c>
      <c r="F98" s="128"/>
      <c r="G98" s="128"/>
      <c r="H98" s="128"/>
    </row>
    <row r="99" spans="1:8" x14ac:dyDescent="0.25">
      <c r="A99" s="128"/>
      <c r="B99" s="128"/>
      <c r="C99" s="128"/>
      <c r="D99" s="136"/>
      <c r="E99" s="128"/>
      <c r="F99" s="128"/>
      <c r="G99" s="128"/>
      <c r="H99" s="128"/>
    </row>
    <row r="100" spans="1:8" x14ac:dyDescent="0.25">
      <c r="A100" s="128"/>
      <c r="B100" s="128"/>
      <c r="C100" s="128"/>
      <c r="D100" s="128"/>
      <c r="E100" s="128"/>
      <c r="F100" s="128"/>
      <c r="G100" s="128"/>
      <c r="H100" s="128"/>
    </row>
    <row r="101" spans="1:8" ht="15.75" x14ac:dyDescent="0.25">
      <c r="A101" s="113" t="s">
        <v>295</v>
      </c>
      <c r="B101" s="113" t="s">
        <v>13</v>
      </c>
      <c r="C101" s="128"/>
      <c r="D101" s="128"/>
      <c r="E101" s="128"/>
      <c r="F101" s="128"/>
      <c r="G101" s="128"/>
      <c r="H101" s="128"/>
    </row>
    <row r="102" spans="1:8" x14ac:dyDescent="0.25">
      <c r="A102" s="128"/>
      <c r="B102" s="128" t="s">
        <v>296</v>
      </c>
      <c r="C102" s="128"/>
      <c r="D102" s="128"/>
      <c r="E102" s="128"/>
      <c r="F102" s="128"/>
      <c r="G102" s="128"/>
      <c r="H102" s="128"/>
    </row>
    <row r="103" spans="1:8" x14ac:dyDescent="0.25">
      <c r="A103" s="128"/>
      <c r="B103" s="128"/>
      <c r="C103" s="128"/>
      <c r="D103" s="128"/>
      <c r="E103" s="128"/>
      <c r="F103" s="128"/>
      <c r="G103" s="128"/>
      <c r="H103" s="128"/>
    </row>
    <row r="104" spans="1:8" x14ac:dyDescent="0.25">
      <c r="A104" s="128"/>
      <c r="B104" s="128"/>
      <c r="C104" s="128"/>
      <c r="D104" s="128"/>
      <c r="E104" s="128"/>
      <c r="F104" s="128"/>
      <c r="G104" s="128"/>
      <c r="H104" s="128"/>
    </row>
    <row r="105" spans="1:8" ht="15.75" x14ac:dyDescent="0.25">
      <c r="A105" s="113" t="s">
        <v>297</v>
      </c>
      <c r="B105" s="113" t="s">
        <v>298</v>
      </c>
      <c r="C105" s="128"/>
      <c r="D105" s="128"/>
      <c r="E105" s="128"/>
      <c r="F105" s="128"/>
      <c r="G105" s="128"/>
      <c r="H105" s="128"/>
    </row>
    <row r="106" spans="1:8" x14ac:dyDescent="0.25">
      <c r="A106" s="128"/>
      <c r="B106" s="184"/>
      <c r="C106" s="184"/>
      <c r="D106" s="185">
        <v>2019</v>
      </c>
      <c r="E106" s="185">
        <v>2018</v>
      </c>
      <c r="F106" s="128"/>
      <c r="G106" s="128"/>
      <c r="H106" s="128"/>
    </row>
    <row r="107" spans="1:8" x14ac:dyDescent="0.25">
      <c r="A107" s="128"/>
      <c r="B107" s="186" t="s">
        <v>299</v>
      </c>
      <c r="C107" s="187"/>
      <c r="D107" s="188">
        <v>222541</v>
      </c>
      <c r="E107" s="188">
        <v>361765</v>
      </c>
      <c r="F107" s="128"/>
      <c r="G107" s="128"/>
      <c r="H107" s="128"/>
    </row>
    <row r="108" spans="1:8" x14ac:dyDescent="0.25">
      <c r="A108" s="128"/>
      <c r="B108" s="186" t="s">
        <v>300</v>
      </c>
      <c r="C108" s="187"/>
      <c r="D108" s="188">
        <v>0</v>
      </c>
      <c r="E108" s="188">
        <v>209780</v>
      </c>
      <c r="F108" s="128"/>
      <c r="G108" s="128"/>
      <c r="H108" s="128"/>
    </row>
    <row r="109" spans="1:8" x14ac:dyDescent="0.25">
      <c r="A109" s="128"/>
      <c r="B109" s="186" t="s">
        <v>301</v>
      </c>
      <c r="C109" s="187"/>
      <c r="D109" s="188">
        <v>0</v>
      </c>
      <c r="E109" s="188">
        <v>136395</v>
      </c>
      <c r="F109" s="128"/>
      <c r="G109" s="128"/>
      <c r="H109" s="128"/>
    </row>
    <row r="110" spans="1:8" x14ac:dyDescent="0.25">
      <c r="A110" s="128"/>
      <c r="B110" s="186" t="s">
        <v>302</v>
      </c>
      <c r="C110" s="187"/>
      <c r="D110" s="188">
        <v>0</v>
      </c>
      <c r="E110" s="188">
        <v>0</v>
      </c>
      <c r="F110" s="128"/>
      <c r="G110" s="128"/>
      <c r="H110" s="128"/>
    </row>
    <row r="111" spans="1:8" x14ac:dyDescent="0.25">
      <c r="A111" s="128"/>
      <c r="B111" s="186" t="s">
        <v>82</v>
      </c>
      <c r="C111" s="187"/>
      <c r="D111" s="188">
        <f>[1]Ark4!L21</f>
        <v>0</v>
      </c>
      <c r="E111" s="188">
        <v>0</v>
      </c>
      <c r="F111" s="128"/>
      <c r="G111" s="128"/>
      <c r="H111" s="128"/>
    </row>
    <row r="112" spans="1:8" x14ac:dyDescent="0.25">
      <c r="A112" s="128"/>
      <c r="B112" s="189" t="s">
        <v>29</v>
      </c>
      <c r="C112" s="190"/>
      <c r="D112" s="191">
        <f>D107+D108+D109+D110</f>
        <v>222541</v>
      </c>
      <c r="E112" s="191">
        <f>E107+E108+E109</f>
        <v>707940</v>
      </c>
      <c r="F112" s="128"/>
      <c r="G112" s="128"/>
      <c r="H112" s="128"/>
    </row>
    <row r="113" spans="1:8" x14ac:dyDescent="0.25">
      <c r="A113" s="128"/>
      <c r="B113" s="128"/>
      <c r="C113" s="128"/>
      <c r="D113" s="128"/>
      <c r="E113" s="128"/>
      <c r="F113" s="128"/>
      <c r="G113" s="128"/>
      <c r="H113" s="128"/>
    </row>
    <row r="114" spans="1:8" x14ac:dyDescent="0.25">
      <c r="A114" s="128"/>
      <c r="B114" s="128"/>
      <c r="C114" s="128"/>
      <c r="D114" s="128"/>
      <c r="E114" s="128"/>
      <c r="F114" s="128"/>
      <c r="G114" s="128"/>
      <c r="H114" s="128"/>
    </row>
    <row r="115" spans="1:8" ht="15.75" x14ac:dyDescent="0.25">
      <c r="A115" s="113" t="s">
        <v>303</v>
      </c>
      <c r="B115" s="113" t="s">
        <v>304</v>
      </c>
      <c r="C115" s="128"/>
      <c r="D115" s="128"/>
      <c r="E115" s="128"/>
      <c r="F115" s="128"/>
      <c r="G115" s="128"/>
      <c r="H115" s="128"/>
    </row>
    <row r="116" spans="1:8" x14ac:dyDescent="0.25">
      <c r="A116" s="128"/>
      <c r="B116" s="128" t="s">
        <v>305</v>
      </c>
      <c r="C116" s="128"/>
      <c r="D116" s="128"/>
      <c r="E116" s="128"/>
      <c r="F116" s="128"/>
      <c r="G116" s="128"/>
      <c r="H116" s="128"/>
    </row>
    <row r="117" spans="1:8" x14ac:dyDescent="0.25">
      <c r="A117" s="128"/>
      <c r="B117" s="128" t="s">
        <v>306</v>
      </c>
      <c r="C117" s="128"/>
      <c r="D117" s="128"/>
      <c r="E117" s="128"/>
      <c r="F117" s="128"/>
      <c r="G117" s="128"/>
      <c r="H117" s="128"/>
    </row>
    <row r="118" spans="1:8" x14ac:dyDescent="0.25">
      <c r="A118" s="128"/>
      <c r="B118" s="128"/>
      <c r="C118" s="128"/>
      <c r="D118" s="128"/>
      <c r="E118" s="128"/>
      <c r="F118" s="128"/>
      <c r="G118" s="128"/>
      <c r="H118" s="128"/>
    </row>
    <row r="119" spans="1:8" ht="15.75" x14ac:dyDescent="0.25">
      <c r="A119" s="113" t="s">
        <v>307</v>
      </c>
      <c r="B119" s="113" t="s">
        <v>92</v>
      </c>
      <c r="C119" s="128"/>
      <c r="D119" s="128"/>
      <c r="E119" s="128"/>
      <c r="F119" s="128"/>
      <c r="G119" s="128"/>
      <c r="H119" s="128"/>
    </row>
    <row r="120" spans="1:8" x14ac:dyDescent="0.25">
      <c r="A120" s="128"/>
      <c r="B120" s="128"/>
      <c r="C120" s="128"/>
      <c r="D120" s="198" t="s">
        <v>308</v>
      </c>
      <c r="E120" s="198" t="s">
        <v>309</v>
      </c>
      <c r="F120" s="198" t="s">
        <v>29</v>
      </c>
      <c r="G120" s="128"/>
      <c r="H120" s="128"/>
    </row>
    <row r="121" spans="1:8" x14ac:dyDescent="0.25">
      <c r="A121" s="128"/>
      <c r="B121" s="184"/>
      <c r="C121" s="184"/>
      <c r="D121" s="199" t="s">
        <v>92</v>
      </c>
      <c r="E121" s="199" t="s">
        <v>92</v>
      </c>
      <c r="F121" s="200" t="s">
        <v>92</v>
      </c>
      <c r="G121" s="128"/>
      <c r="H121" s="128"/>
    </row>
    <row r="122" spans="1:8" x14ac:dyDescent="0.25">
      <c r="A122" s="128"/>
      <c r="B122" s="186" t="s">
        <v>310</v>
      </c>
      <c r="C122" s="187"/>
      <c r="D122" s="188">
        <f>[1]Balanse!F25</f>
        <v>3240295</v>
      </c>
      <c r="E122" s="188">
        <f>[1]Balanse!F30</f>
        <v>1466928</v>
      </c>
      <c r="F122" s="136">
        <f>D122+E122</f>
        <v>4707223</v>
      </c>
      <c r="G122" s="128"/>
      <c r="H122" s="128"/>
    </row>
    <row r="123" spans="1:8" x14ac:dyDescent="0.25">
      <c r="A123" s="128"/>
      <c r="B123" s="186"/>
      <c r="C123" s="187"/>
      <c r="D123" s="188"/>
      <c r="E123" s="188"/>
      <c r="F123" s="128"/>
      <c r="G123" s="128"/>
      <c r="H123" s="128"/>
    </row>
    <row r="124" spans="1:8" x14ac:dyDescent="0.25">
      <c r="A124" s="128"/>
      <c r="B124" s="201" t="s">
        <v>311</v>
      </c>
      <c r="C124" s="187"/>
      <c r="D124" s="188"/>
      <c r="E124" s="188"/>
      <c r="F124" s="128"/>
      <c r="G124" s="128"/>
      <c r="H124" s="128"/>
    </row>
    <row r="125" spans="1:8" x14ac:dyDescent="0.25">
      <c r="A125" s="128"/>
      <c r="B125" s="186" t="s">
        <v>312</v>
      </c>
      <c r="C125" s="187"/>
      <c r="D125" s="188">
        <f>[1]Balanse!F26</f>
        <v>58436</v>
      </c>
      <c r="E125" s="188">
        <f>[1]Balanse!F31</f>
        <v>-210099</v>
      </c>
      <c r="F125" s="136">
        <f>D125+E125</f>
        <v>-151663</v>
      </c>
      <c r="G125" s="128"/>
      <c r="H125" s="128"/>
    </row>
    <row r="126" spans="1:8" x14ac:dyDescent="0.25">
      <c r="A126" s="128"/>
      <c r="B126" s="186" t="s">
        <v>313</v>
      </c>
      <c r="C126" s="187"/>
      <c r="D126" s="188"/>
      <c r="E126" s="188"/>
      <c r="F126" s="128"/>
      <c r="G126" s="128"/>
      <c r="H126" s="128"/>
    </row>
    <row r="127" spans="1:8" x14ac:dyDescent="0.25">
      <c r="A127" s="128"/>
      <c r="B127" s="186"/>
      <c r="C127" s="187"/>
      <c r="D127" s="188"/>
      <c r="E127" s="188"/>
      <c r="F127" s="114"/>
      <c r="G127" s="128"/>
      <c r="H127" s="128"/>
    </row>
    <row r="128" spans="1:8" x14ac:dyDescent="0.25">
      <c r="A128" s="128"/>
      <c r="B128" s="189" t="s">
        <v>314</v>
      </c>
      <c r="C128" s="190"/>
      <c r="D128" s="191">
        <f>D122+D123+D124+D125+D126+D127+0.3</f>
        <v>3298731.3</v>
      </c>
      <c r="E128" s="191">
        <f>E122+E123+E124+E125+E126+E127</f>
        <v>1256829</v>
      </c>
      <c r="F128" s="191">
        <f>D128+E128</f>
        <v>4555560.3</v>
      </c>
      <c r="G128" s="128"/>
      <c r="H128" s="128"/>
    </row>
    <row r="129" spans="1:8" x14ac:dyDescent="0.25">
      <c r="A129" s="128"/>
      <c r="B129" s="128"/>
      <c r="C129" s="128"/>
      <c r="D129" s="128"/>
      <c r="E129" s="128"/>
      <c r="F129" s="128"/>
      <c r="G129" s="128"/>
      <c r="H129" s="128"/>
    </row>
    <row r="130" spans="1:8" x14ac:dyDescent="0.25">
      <c r="A130" s="128"/>
      <c r="B130" s="128"/>
      <c r="C130" s="128"/>
      <c r="D130" s="128"/>
      <c r="E130" s="128"/>
      <c r="F130" s="128"/>
      <c r="G130" s="128"/>
      <c r="H130" s="128"/>
    </row>
    <row r="131" spans="1:8" ht="15.75" x14ac:dyDescent="0.25">
      <c r="A131" s="113" t="s">
        <v>315</v>
      </c>
      <c r="B131" s="113" t="s">
        <v>16</v>
      </c>
      <c r="C131" s="128"/>
      <c r="D131" s="128"/>
      <c r="E131" s="128"/>
      <c r="F131" s="128"/>
      <c r="G131" s="128"/>
      <c r="H131" s="128"/>
    </row>
    <row r="132" spans="1:8" x14ac:dyDescent="0.25">
      <c r="A132" s="128"/>
      <c r="B132" s="184"/>
      <c r="C132" s="184"/>
      <c r="D132" s="185">
        <v>2019</v>
      </c>
      <c r="E132" s="185">
        <v>2018</v>
      </c>
      <c r="F132" s="128"/>
      <c r="G132" s="128"/>
      <c r="H132" s="128"/>
    </row>
    <row r="133" spans="1:8" x14ac:dyDescent="0.25">
      <c r="A133" s="128"/>
      <c r="B133" s="186" t="s">
        <v>316</v>
      </c>
      <c r="C133" s="187"/>
      <c r="D133" s="188">
        <v>50400</v>
      </c>
      <c r="E133" s="188">
        <v>0</v>
      </c>
      <c r="F133" s="128"/>
      <c r="G133" s="128"/>
      <c r="H133" s="128"/>
    </row>
    <row r="134" spans="1:8" x14ac:dyDescent="0.25">
      <c r="A134" s="128"/>
      <c r="B134" s="186" t="s">
        <v>317</v>
      </c>
      <c r="C134" s="187"/>
      <c r="D134" s="188">
        <v>229360</v>
      </c>
      <c r="E134" s="188">
        <v>243743</v>
      </c>
      <c r="F134" s="128"/>
      <c r="G134" s="128"/>
      <c r="H134" s="128"/>
    </row>
    <row r="135" spans="1:8" x14ac:dyDescent="0.25">
      <c r="A135" s="128"/>
      <c r="B135" s="186" t="s">
        <v>318</v>
      </c>
      <c r="C135" s="187"/>
      <c r="D135" s="188">
        <v>127699</v>
      </c>
      <c r="E135" s="188">
        <v>127699</v>
      </c>
      <c r="F135" s="128"/>
      <c r="G135" s="128"/>
      <c r="H135" s="128"/>
    </row>
    <row r="136" spans="1:8" x14ac:dyDescent="0.25">
      <c r="A136" s="128"/>
      <c r="B136" s="186" t="s">
        <v>16</v>
      </c>
      <c r="C136" s="187"/>
      <c r="D136" s="188">
        <v>94912</v>
      </c>
      <c r="E136" s="188">
        <v>42663</v>
      </c>
      <c r="F136" s="128"/>
      <c r="G136" s="128"/>
      <c r="H136" s="128"/>
    </row>
    <row r="137" spans="1:8" x14ac:dyDescent="0.25">
      <c r="A137" s="128"/>
      <c r="B137" s="189" t="s">
        <v>29</v>
      </c>
      <c r="C137" s="190"/>
      <c r="D137" s="191">
        <f>SUM(D133:D136)</f>
        <v>502371</v>
      </c>
      <c r="E137" s="191">
        <f>E134+E135+E136</f>
        <v>414105</v>
      </c>
      <c r="F137" s="128"/>
      <c r="G137" s="128"/>
      <c r="H137" s="128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DA2B-29E1-4552-AA20-35772DA7B738}">
  <sheetPr>
    <tabColor theme="6" tint="-0.249977111117893"/>
  </sheetPr>
  <dimension ref="B2:H69"/>
  <sheetViews>
    <sheetView workbookViewId="0">
      <selection activeCell="J32" sqref="J32"/>
    </sheetView>
  </sheetViews>
  <sheetFormatPr baseColWidth="10" defaultRowHeight="15" x14ac:dyDescent="0.25"/>
  <sheetData>
    <row r="2" spans="2:8" ht="23.25" x14ac:dyDescent="0.35">
      <c r="B2" s="110" t="s">
        <v>179</v>
      </c>
      <c r="C2" s="109"/>
      <c r="D2" s="109"/>
      <c r="E2" s="109"/>
      <c r="F2" s="109"/>
      <c r="G2" s="109"/>
      <c r="H2" s="109"/>
    </row>
    <row r="4" spans="2:8" x14ac:dyDescent="0.25">
      <c r="B4" s="109"/>
      <c r="C4" s="109"/>
      <c r="D4" s="109"/>
      <c r="E4" s="115" t="s">
        <v>76</v>
      </c>
      <c r="F4" s="115">
        <v>2018</v>
      </c>
      <c r="G4" s="109"/>
      <c r="H4" s="115">
        <v>2017</v>
      </c>
    </row>
    <row r="5" spans="2:8" ht="15.75" x14ac:dyDescent="0.25">
      <c r="B5" s="113" t="s">
        <v>77</v>
      </c>
      <c r="C5" s="109"/>
      <c r="D5" s="109"/>
      <c r="E5" s="111"/>
      <c r="F5" s="109"/>
      <c r="G5" s="109"/>
      <c r="H5" s="109"/>
    </row>
    <row r="6" spans="2:8" x14ac:dyDescent="0.25">
      <c r="B6" s="112" t="s">
        <v>78</v>
      </c>
      <c r="C6" s="109"/>
      <c r="D6" s="109"/>
      <c r="E6" s="111"/>
      <c r="F6" s="109"/>
      <c r="G6" s="109"/>
      <c r="H6" s="109"/>
    </row>
    <row r="7" spans="2:8" x14ac:dyDescent="0.25">
      <c r="B7" s="109" t="s">
        <v>79</v>
      </c>
      <c r="C7" s="109"/>
      <c r="D7" s="109"/>
      <c r="E7" s="111">
        <v>6</v>
      </c>
      <c r="F7" s="114"/>
      <c r="G7" s="109"/>
      <c r="H7" s="114"/>
    </row>
    <row r="8" spans="2:8" ht="15.75" thickBot="1" x14ac:dyDescent="0.3">
      <c r="B8" s="112" t="s">
        <v>80</v>
      </c>
      <c r="C8" s="109"/>
      <c r="D8" s="109"/>
      <c r="E8" s="111"/>
      <c r="F8" s="116"/>
      <c r="G8" s="109"/>
      <c r="H8" s="116"/>
    </row>
    <row r="9" spans="2:8" x14ac:dyDescent="0.25">
      <c r="B9" s="109"/>
      <c r="C9" s="109"/>
      <c r="D9" s="109"/>
      <c r="E9" s="111"/>
      <c r="F9" s="109"/>
      <c r="G9" s="109"/>
      <c r="H9" s="109"/>
    </row>
    <row r="10" spans="2:8" x14ac:dyDescent="0.25">
      <c r="B10" s="112" t="s">
        <v>81</v>
      </c>
      <c r="C10" s="109"/>
      <c r="D10" s="109"/>
      <c r="E10" s="111"/>
      <c r="F10" s="109"/>
      <c r="G10" s="109"/>
      <c r="H10" s="109"/>
    </row>
    <row r="11" spans="2:8" x14ac:dyDescent="0.25">
      <c r="B11" s="109" t="s">
        <v>13</v>
      </c>
      <c r="C11" s="109"/>
      <c r="D11" s="109"/>
      <c r="E11" s="111">
        <v>6</v>
      </c>
      <c r="F11" s="118">
        <v>145137</v>
      </c>
      <c r="G11" s="109"/>
      <c r="H11" s="118">
        <v>625432</v>
      </c>
    </row>
    <row r="12" spans="2:8" x14ac:dyDescent="0.25">
      <c r="B12" s="109" t="s">
        <v>82</v>
      </c>
      <c r="C12" s="109"/>
      <c r="D12" s="109"/>
      <c r="E12" s="111">
        <v>7</v>
      </c>
      <c r="F12" s="119">
        <v>222541</v>
      </c>
      <c r="G12" s="109"/>
      <c r="H12" s="119">
        <v>707940</v>
      </c>
    </row>
    <row r="13" spans="2:8" ht="15.75" thickBot="1" x14ac:dyDescent="0.3">
      <c r="B13" s="112" t="s">
        <v>83</v>
      </c>
      <c r="C13" s="109"/>
      <c r="D13" s="109"/>
      <c r="E13" s="111"/>
      <c r="F13" s="124">
        <v>367678</v>
      </c>
      <c r="G13" s="109"/>
      <c r="H13" s="124">
        <v>1333372</v>
      </c>
    </row>
    <row r="14" spans="2:8" x14ac:dyDescent="0.25">
      <c r="B14" s="109"/>
      <c r="C14" s="109"/>
      <c r="D14" s="109"/>
      <c r="E14" s="111"/>
      <c r="F14" s="109"/>
      <c r="G14" s="109"/>
      <c r="H14" s="109"/>
    </row>
    <row r="15" spans="2:8" x14ac:dyDescent="0.25">
      <c r="B15" s="112" t="s">
        <v>84</v>
      </c>
      <c r="C15" s="109"/>
      <c r="D15" s="109"/>
      <c r="E15" s="111">
        <v>8</v>
      </c>
      <c r="F15" s="125">
        <v>4771929</v>
      </c>
      <c r="G15" s="109"/>
      <c r="H15" s="125">
        <v>4683882</v>
      </c>
    </row>
    <row r="16" spans="2:8" x14ac:dyDescent="0.25">
      <c r="B16" s="109"/>
      <c r="C16" s="109"/>
      <c r="D16" s="109"/>
      <c r="E16" s="111"/>
      <c r="F16" s="109"/>
      <c r="G16" s="109"/>
      <c r="H16" s="109"/>
    </row>
    <row r="17" spans="2:8" ht="15.75" thickBot="1" x14ac:dyDescent="0.3">
      <c r="B17" s="112" t="s">
        <v>14</v>
      </c>
      <c r="C17" s="109"/>
      <c r="D17" s="109"/>
      <c r="E17" s="111"/>
      <c r="F17" s="120">
        <v>5139607</v>
      </c>
      <c r="G17" s="109"/>
      <c r="H17" s="120">
        <v>6017254</v>
      </c>
    </row>
    <row r="18" spans="2:8" x14ac:dyDescent="0.25">
      <c r="B18" s="109"/>
      <c r="C18" s="109"/>
      <c r="D18" s="109"/>
      <c r="E18" s="111"/>
      <c r="F18" s="109"/>
      <c r="G18" s="109"/>
      <c r="H18" s="109"/>
    </row>
    <row r="19" spans="2:8" ht="16.5" thickBot="1" x14ac:dyDescent="0.3">
      <c r="B19" s="113" t="s">
        <v>85</v>
      </c>
      <c r="C19" s="109"/>
      <c r="D19" s="109"/>
      <c r="E19" s="111"/>
      <c r="F19" s="121">
        <v>5139607</v>
      </c>
      <c r="G19" s="109"/>
      <c r="H19" s="121">
        <v>6017254</v>
      </c>
    </row>
    <row r="20" spans="2:8" ht="15.75" thickTop="1" x14ac:dyDescent="0.25">
      <c r="B20" s="109"/>
      <c r="C20" s="109"/>
      <c r="D20" s="109"/>
      <c r="E20" s="111"/>
      <c r="F20" s="109"/>
      <c r="G20" s="109"/>
      <c r="H20" s="109"/>
    </row>
    <row r="21" spans="2:8" x14ac:dyDescent="0.25">
      <c r="B21" s="109"/>
      <c r="C21" s="109"/>
      <c r="D21" s="109"/>
      <c r="E21" s="111"/>
      <c r="F21" s="109"/>
      <c r="G21" s="109"/>
      <c r="H21" s="109"/>
    </row>
    <row r="22" spans="2:8" ht="15.75" x14ac:dyDescent="0.25">
      <c r="B22" s="113" t="s">
        <v>86</v>
      </c>
      <c r="C22" s="109"/>
      <c r="D22" s="109"/>
      <c r="E22" s="111"/>
      <c r="F22" s="109"/>
      <c r="G22" s="109"/>
      <c r="H22" s="109"/>
    </row>
    <row r="23" spans="2:8" x14ac:dyDescent="0.25">
      <c r="B23" s="109"/>
      <c r="C23" s="109"/>
      <c r="D23" s="109"/>
      <c r="E23" s="111"/>
      <c r="F23" s="109"/>
      <c r="G23" s="109"/>
      <c r="H23" s="109"/>
    </row>
    <row r="24" spans="2:8" x14ac:dyDescent="0.25">
      <c r="B24" s="112" t="s">
        <v>87</v>
      </c>
      <c r="C24" s="109"/>
      <c r="D24" s="109"/>
      <c r="E24" s="111"/>
      <c r="F24" s="109"/>
      <c r="G24" s="109"/>
      <c r="H24" s="109"/>
    </row>
    <row r="25" spans="2:8" x14ac:dyDescent="0.25">
      <c r="B25" s="109" t="s">
        <v>88</v>
      </c>
      <c r="C25" s="109"/>
      <c r="D25" s="109"/>
      <c r="E25" s="111">
        <v>9</v>
      </c>
      <c r="F25" s="118">
        <v>3240295</v>
      </c>
      <c r="G25" s="109"/>
      <c r="H25" s="118">
        <v>3203575</v>
      </c>
    </row>
    <row r="26" spans="2:8" x14ac:dyDescent="0.25">
      <c r="B26" s="109" t="s">
        <v>89</v>
      </c>
      <c r="C26" s="109"/>
      <c r="D26" s="109"/>
      <c r="E26" s="111">
        <v>9</v>
      </c>
      <c r="F26" s="118">
        <v>58436</v>
      </c>
      <c r="G26" s="109"/>
      <c r="H26" s="118">
        <v>36720</v>
      </c>
    </row>
    <row r="27" spans="2:8" ht="15.75" thickBot="1" x14ac:dyDescent="0.3">
      <c r="B27" s="112" t="s">
        <v>90</v>
      </c>
      <c r="C27" s="109"/>
      <c r="D27" s="109"/>
      <c r="E27" s="111"/>
      <c r="F27" s="124">
        <v>3298731</v>
      </c>
      <c r="G27" s="109"/>
      <c r="H27" s="124">
        <v>3240295</v>
      </c>
    </row>
    <row r="28" spans="2:8" x14ac:dyDescent="0.25">
      <c r="B28" s="109"/>
      <c r="C28" s="109"/>
      <c r="D28" s="109"/>
      <c r="E28" s="111"/>
      <c r="F28" s="109"/>
      <c r="G28" s="109"/>
      <c r="H28" s="109"/>
    </row>
    <row r="29" spans="2:8" x14ac:dyDescent="0.25">
      <c r="B29" s="112" t="s">
        <v>91</v>
      </c>
      <c r="C29" s="109"/>
      <c r="D29" s="109"/>
      <c r="E29" s="111"/>
      <c r="F29" s="109"/>
      <c r="G29" s="109"/>
      <c r="H29" s="109"/>
    </row>
    <row r="30" spans="2:8" x14ac:dyDescent="0.25">
      <c r="B30" s="109" t="s">
        <v>92</v>
      </c>
      <c r="C30" s="109"/>
      <c r="D30" s="109"/>
      <c r="E30" s="111">
        <v>9</v>
      </c>
      <c r="F30" s="118">
        <v>1466928</v>
      </c>
      <c r="G30" s="109"/>
      <c r="H30" s="118">
        <v>1187683</v>
      </c>
    </row>
    <row r="31" spans="2:8" x14ac:dyDescent="0.25">
      <c r="B31" s="109" t="s">
        <v>89</v>
      </c>
      <c r="C31" s="109"/>
      <c r="D31" s="109"/>
      <c r="E31" s="111">
        <v>9</v>
      </c>
      <c r="F31" s="119">
        <v>-210099</v>
      </c>
      <c r="G31" s="109"/>
      <c r="H31" s="119">
        <v>279245</v>
      </c>
    </row>
    <row r="32" spans="2:8" ht="15.75" thickBot="1" x14ac:dyDescent="0.3">
      <c r="B32" s="112" t="s">
        <v>93</v>
      </c>
      <c r="C32" s="109"/>
      <c r="D32" s="109"/>
      <c r="E32" s="111"/>
      <c r="F32" s="124">
        <v>1256829</v>
      </c>
      <c r="G32" s="109"/>
      <c r="H32" s="124">
        <v>1466928</v>
      </c>
    </row>
    <row r="33" spans="2:8" x14ac:dyDescent="0.25">
      <c r="B33" s="109"/>
      <c r="C33" s="109"/>
      <c r="D33" s="109"/>
      <c r="E33" s="111"/>
      <c r="F33" s="109"/>
      <c r="G33" s="109"/>
      <c r="H33" s="109"/>
    </row>
    <row r="34" spans="2:8" ht="15.75" thickBot="1" x14ac:dyDescent="0.3">
      <c r="B34" s="112" t="s">
        <v>94</v>
      </c>
      <c r="C34" s="109"/>
      <c r="D34" s="109"/>
      <c r="E34" s="111"/>
      <c r="F34" s="122">
        <v>4555560</v>
      </c>
      <c r="G34" s="109"/>
      <c r="H34" s="122">
        <v>4707223</v>
      </c>
    </row>
    <row r="35" spans="2:8" x14ac:dyDescent="0.25">
      <c r="B35" s="109"/>
      <c r="C35" s="109"/>
      <c r="D35" s="109"/>
      <c r="E35" s="111"/>
      <c r="F35" s="109"/>
      <c r="G35" s="109"/>
      <c r="H35" s="109"/>
    </row>
    <row r="36" spans="2:8" x14ac:dyDescent="0.25">
      <c r="B36" s="112" t="s">
        <v>95</v>
      </c>
      <c r="C36" s="109"/>
      <c r="D36" s="109"/>
      <c r="E36" s="111"/>
      <c r="F36" s="109"/>
      <c r="G36" s="109"/>
      <c r="H36" s="109"/>
    </row>
    <row r="37" spans="2:8" x14ac:dyDescent="0.25">
      <c r="B37" s="109" t="s">
        <v>15</v>
      </c>
      <c r="C37" s="109"/>
      <c r="D37" s="109"/>
      <c r="E37" s="111"/>
      <c r="F37" s="118">
        <v>81676</v>
      </c>
      <c r="G37" s="109"/>
      <c r="H37" s="118">
        <v>895925</v>
      </c>
    </row>
    <row r="38" spans="2:8" x14ac:dyDescent="0.25">
      <c r="B38" s="109" t="s">
        <v>16</v>
      </c>
      <c r="C38" s="109"/>
      <c r="D38" s="109"/>
      <c r="E38" s="111">
        <v>10</v>
      </c>
      <c r="F38" s="119">
        <v>502371</v>
      </c>
      <c r="G38" s="109"/>
      <c r="H38" s="119">
        <v>414106</v>
      </c>
    </row>
    <row r="39" spans="2:8" ht="15.75" thickBot="1" x14ac:dyDescent="0.3">
      <c r="B39" s="112" t="s">
        <v>96</v>
      </c>
      <c r="C39" s="109"/>
      <c r="D39" s="109"/>
      <c r="E39" s="111"/>
      <c r="F39" s="123">
        <v>584047</v>
      </c>
      <c r="G39" s="109"/>
      <c r="H39" s="123">
        <v>1310031</v>
      </c>
    </row>
    <row r="40" spans="2:8" x14ac:dyDescent="0.25">
      <c r="B40" s="109"/>
      <c r="C40" s="109"/>
      <c r="D40" s="109"/>
      <c r="E40" s="111"/>
      <c r="F40" s="109"/>
      <c r="G40" s="109"/>
      <c r="H40" s="109"/>
    </row>
    <row r="41" spans="2:8" ht="15.75" thickBot="1" x14ac:dyDescent="0.3">
      <c r="B41" s="117" t="s">
        <v>97</v>
      </c>
      <c r="C41" s="109"/>
      <c r="D41" s="109"/>
      <c r="E41" s="111"/>
      <c r="F41" s="122">
        <v>584047</v>
      </c>
      <c r="G41" s="109"/>
      <c r="H41" s="122">
        <v>1310031</v>
      </c>
    </row>
    <row r="42" spans="2:8" x14ac:dyDescent="0.25">
      <c r="B42" s="109"/>
      <c r="C42" s="109"/>
      <c r="D42" s="109"/>
      <c r="E42" s="111"/>
      <c r="F42" s="109"/>
      <c r="G42" s="109"/>
      <c r="H42" s="109"/>
    </row>
    <row r="43" spans="2:8" ht="15.75" thickBot="1" x14ac:dyDescent="0.3">
      <c r="B43" s="112" t="s">
        <v>98</v>
      </c>
      <c r="C43" s="109"/>
      <c r="D43" s="109"/>
      <c r="E43" s="111"/>
      <c r="F43" s="122">
        <v>5139607</v>
      </c>
      <c r="G43" s="109"/>
      <c r="H43" s="122">
        <v>6017254</v>
      </c>
    </row>
    <row r="46" spans="2:8" x14ac:dyDescent="0.25">
      <c r="B46" s="109"/>
      <c r="C46" s="109"/>
      <c r="D46" s="109" t="s">
        <v>319</v>
      </c>
      <c r="E46" s="109"/>
      <c r="F46" s="109"/>
      <c r="G46" s="109"/>
      <c r="H46" s="109"/>
    </row>
    <row r="50" spans="2:6" x14ac:dyDescent="0.25">
      <c r="B50" s="109" t="s">
        <v>99</v>
      </c>
      <c r="C50" s="109"/>
      <c r="D50" s="109" t="s">
        <v>100</v>
      </c>
      <c r="E50" s="109"/>
      <c r="F50" s="109" t="s">
        <v>101</v>
      </c>
    </row>
    <row r="51" spans="2:6" x14ac:dyDescent="0.25">
      <c r="B51" s="109" t="s">
        <v>102</v>
      </c>
      <c r="C51" s="109"/>
      <c r="D51" s="111" t="s">
        <v>103</v>
      </c>
      <c r="E51" s="109"/>
      <c r="F51" s="111" t="s">
        <v>104</v>
      </c>
    </row>
    <row r="52" spans="2:6" x14ac:dyDescent="0.25">
      <c r="B52" s="109" t="s">
        <v>105</v>
      </c>
      <c r="C52" s="109"/>
      <c r="D52" s="111" t="s">
        <v>106</v>
      </c>
      <c r="E52" s="109"/>
      <c r="F52" s="109" t="s">
        <v>107</v>
      </c>
    </row>
    <row r="56" spans="2:6" x14ac:dyDescent="0.25">
      <c r="B56" s="109" t="s">
        <v>108</v>
      </c>
      <c r="C56" s="109"/>
      <c r="D56" s="109" t="s">
        <v>100</v>
      </c>
      <c r="E56" s="109"/>
      <c r="F56" s="109" t="s">
        <v>109</v>
      </c>
    </row>
    <row r="57" spans="2:6" x14ac:dyDescent="0.25">
      <c r="B57" s="109" t="s">
        <v>110</v>
      </c>
      <c r="C57" s="109"/>
      <c r="D57" s="111" t="s">
        <v>180</v>
      </c>
      <c r="E57" s="109"/>
      <c r="F57" s="111" t="s">
        <v>111</v>
      </c>
    </row>
    <row r="58" spans="2:6" x14ac:dyDescent="0.25">
      <c r="B58" s="109" t="s">
        <v>112</v>
      </c>
      <c r="C58" s="109"/>
      <c r="D58" s="109" t="s">
        <v>113</v>
      </c>
      <c r="E58" s="109"/>
      <c r="F58" s="109" t="s">
        <v>112</v>
      </c>
    </row>
    <row r="62" spans="2:6" x14ac:dyDescent="0.25">
      <c r="B62" s="109" t="s">
        <v>109</v>
      </c>
      <c r="C62" s="109"/>
      <c r="D62" s="109" t="s">
        <v>108</v>
      </c>
      <c r="E62" s="109"/>
      <c r="F62" s="109" t="s">
        <v>109</v>
      </c>
    </row>
    <row r="63" spans="2:6" x14ac:dyDescent="0.25">
      <c r="B63" s="126" t="s">
        <v>114</v>
      </c>
      <c r="C63" s="109"/>
      <c r="D63" s="109" t="s">
        <v>115</v>
      </c>
      <c r="E63" s="109"/>
      <c r="F63" s="109" t="s">
        <v>116</v>
      </c>
    </row>
    <row r="64" spans="2:6" x14ac:dyDescent="0.25">
      <c r="B64" s="109" t="s">
        <v>117</v>
      </c>
      <c r="C64" s="109"/>
      <c r="D64" s="109" t="s">
        <v>118</v>
      </c>
      <c r="E64" s="109"/>
      <c r="F64" s="109" t="s">
        <v>117</v>
      </c>
    </row>
    <row r="67" spans="2:6" x14ac:dyDescent="0.25">
      <c r="B67" s="109" t="s">
        <v>109</v>
      </c>
      <c r="C67" s="109"/>
      <c r="D67" s="109"/>
      <c r="E67" s="109"/>
      <c r="F67" s="109" t="s">
        <v>109</v>
      </c>
    </row>
    <row r="68" spans="2:6" x14ac:dyDescent="0.25">
      <c r="B68" s="127" t="s">
        <v>119</v>
      </c>
      <c r="C68" s="109"/>
      <c r="D68" s="109"/>
      <c r="E68" s="109"/>
      <c r="F68" s="109" t="s">
        <v>120</v>
      </c>
    </row>
    <row r="69" spans="2:6" x14ac:dyDescent="0.25">
      <c r="B69" s="109" t="s">
        <v>117</v>
      </c>
      <c r="C69" s="109"/>
      <c r="D69" s="109"/>
      <c r="E69" s="109"/>
      <c r="F69" s="109" t="s">
        <v>121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F453-FFF3-4493-857E-5F5D41948845}">
  <sheetPr>
    <tabColor rgb="FF00B050"/>
  </sheetPr>
  <dimension ref="A1:K64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26.42578125" customWidth="1"/>
    <col min="2" max="2" width="16" customWidth="1"/>
    <col min="3" max="3" width="14.140625" hidden="1" customWidth="1"/>
    <col min="4" max="4" width="16" style="128" customWidth="1"/>
    <col min="8" max="11" width="0" hidden="1" customWidth="1"/>
  </cols>
  <sheetData>
    <row r="1" spans="1:6" x14ac:dyDescent="0.25">
      <c r="A1" s="67"/>
      <c r="B1" s="107" t="s">
        <v>178</v>
      </c>
      <c r="C1" s="106" t="s">
        <v>169</v>
      </c>
      <c r="D1" s="106" t="s">
        <v>199</v>
      </c>
      <c r="E1" s="106" t="s">
        <v>171</v>
      </c>
      <c r="F1" s="106" t="s">
        <v>170</v>
      </c>
    </row>
    <row r="2" spans="1:6" x14ac:dyDescent="0.25">
      <c r="A2" s="12" t="s">
        <v>202</v>
      </c>
      <c r="B2" s="82">
        <v>545045</v>
      </c>
      <c r="C2" s="55">
        <v>550000</v>
      </c>
      <c r="D2" s="55">
        <v>105137</v>
      </c>
      <c r="E2" s="153">
        <v>560000</v>
      </c>
      <c r="F2" s="153">
        <v>570000</v>
      </c>
    </row>
    <row r="3" spans="1:6" x14ac:dyDescent="0.25">
      <c r="A3" s="13" t="s">
        <v>149</v>
      </c>
      <c r="B3" s="82">
        <f>53187+30</f>
        <v>53217</v>
      </c>
      <c r="C3" s="55">
        <v>0</v>
      </c>
      <c r="D3" s="55">
        <f>132739-40148</f>
        <v>92591</v>
      </c>
      <c r="E3" s="153">
        <v>0</v>
      </c>
      <c r="F3" s="153">
        <v>0</v>
      </c>
    </row>
    <row r="4" spans="1:6" x14ac:dyDescent="0.25">
      <c r="A4" s="12" t="s">
        <v>150</v>
      </c>
      <c r="B4" s="82">
        <v>238941</v>
      </c>
      <c r="C4" s="55">
        <v>280000</v>
      </c>
      <c r="D4" s="55">
        <v>296674</v>
      </c>
      <c r="E4" s="153">
        <v>300000</v>
      </c>
      <c r="F4" s="153">
        <v>300000</v>
      </c>
    </row>
    <row r="5" spans="1:6" x14ac:dyDescent="0.25">
      <c r="A5" s="12" t="s">
        <v>151</v>
      </c>
      <c r="B5" s="82">
        <v>1567522</v>
      </c>
      <c r="C5" s="55">
        <v>1410000</v>
      </c>
      <c r="D5" s="55">
        <v>1711864</v>
      </c>
      <c r="E5" s="153">
        <v>1500000</v>
      </c>
      <c r="F5" s="153">
        <v>1500000</v>
      </c>
    </row>
    <row r="6" spans="1:6" x14ac:dyDescent="0.25">
      <c r="A6" s="12" t="s">
        <v>176</v>
      </c>
      <c r="B6" s="82">
        <v>0</v>
      </c>
      <c r="C6" s="55">
        <v>10000</v>
      </c>
      <c r="D6" s="55">
        <v>15000</v>
      </c>
      <c r="E6" s="153">
        <v>10000</v>
      </c>
      <c r="F6" s="153">
        <v>10000</v>
      </c>
    </row>
    <row r="7" spans="1:6" x14ac:dyDescent="0.25">
      <c r="A7" s="12" t="s">
        <v>153</v>
      </c>
      <c r="B7" s="82">
        <v>69936</v>
      </c>
      <c r="C7" s="55">
        <v>130000</v>
      </c>
      <c r="D7" s="55">
        <v>271330</v>
      </c>
      <c r="E7" s="153">
        <v>80000</v>
      </c>
      <c r="F7" s="153">
        <v>80000</v>
      </c>
    </row>
    <row r="8" spans="1:6" ht="15.75" thickBot="1" x14ac:dyDescent="0.3">
      <c r="A8" s="12" t="s">
        <v>154</v>
      </c>
      <c r="B8" s="82">
        <v>537150</v>
      </c>
      <c r="C8" s="55">
        <v>500000</v>
      </c>
      <c r="D8" s="55">
        <v>595890</v>
      </c>
      <c r="E8" s="153">
        <v>600000</v>
      </c>
      <c r="F8" s="153">
        <v>600000</v>
      </c>
    </row>
    <row r="9" spans="1:6" hidden="1" x14ac:dyDescent="0.25">
      <c r="A9" s="13" t="s">
        <v>155</v>
      </c>
      <c r="B9" s="82">
        <v>0</v>
      </c>
      <c r="C9" s="55"/>
      <c r="D9" s="55">
        <f>avdelingsrapport2019!B65</f>
        <v>0</v>
      </c>
      <c r="E9" s="153"/>
      <c r="F9" s="153"/>
    </row>
    <row r="10" spans="1:6" ht="15.75" hidden="1" thickBot="1" x14ac:dyDescent="0.3">
      <c r="A10" s="68" t="s">
        <v>156</v>
      </c>
      <c r="B10" s="83">
        <v>0</v>
      </c>
      <c r="C10" s="69"/>
      <c r="D10" s="69">
        <v>0</v>
      </c>
      <c r="E10" s="154"/>
      <c r="F10" s="154"/>
    </row>
    <row r="11" spans="1:6" x14ac:dyDescent="0.25">
      <c r="A11" s="72" t="s">
        <v>60</v>
      </c>
      <c r="B11" s="84">
        <v>201066</v>
      </c>
      <c r="C11" s="73">
        <v>75000</v>
      </c>
      <c r="D11" s="73">
        <v>43000</v>
      </c>
      <c r="E11" s="155">
        <v>80000</v>
      </c>
      <c r="F11" s="156">
        <v>80000</v>
      </c>
    </row>
    <row r="12" spans="1:6" x14ac:dyDescent="0.25">
      <c r="A12" s="75" t="s">
        <v>157</v>
      </c>
      <c r="B12" s="82">
        <v>0</v>
      </c>
      <c r="C12" s="55">
        <v>3000</v>
      </c>
      <c r="D12" s="55">
        <v>6750</v>
      </c>
      <c r="E12" s="153">
        <v>3000</v>
      </c>
      <c r="F12" s="157">
        <v>3000</v>
      </c>
    </row>
    <row r="13" spans="1:6" x14ac:dyDescent="0.25">
      <c r="A13" s="75" t="s">
        <v>136</v>
      </c>
      <c r="B13" s="82">
        <v>4500</v>
      </c>
      <c r="C13" s="55">
        <v>10000</v>
      </c>
      <c r="D13" s="55">
        <v>3385</v>
      </c>
      <c r="E13" s="153">
        <v>10000</v>
      </c>
      <c r="F13" s="157">
        <v>10000</v>
      </c>
    </row>
    <row r="14" spans="1:6" x14ac:dyDescent="0.25">
      <c r="A14" s="75" t="s">
        <v>158</v>
      </c>
      <c r="B14" s="82">
        <v>0</v>
      </c>
      <c r="C14" s="55">
        <v>5000</v>
      </c>
      <c r="D14" s="55">
        <v>0</v>
      </c>
      <c r="E14" s="153">
        <v>5000</v>
      </c>
      <c r="F14" s="157">
        <v>5000</v>
      </c>
    </row>
    <row r="15" spans="1:6" x14ac:dyDescent="0.25">
      <c r="A15" s="75" t="s">
        <v>63</v>
      </c>
      <c r="B15" s="82">
        <v>611961</v>
      </c>
      <c r="C15" s="55">
        <v>1575000</v>
      </c>
      <c r="D15" s="55">
        <v>790210</v>
      </c>
      <c r="E15" s="153">
        <v>1500000</v>
      </c>
      <c r="F15" s="157">
        <v>1500000</v>
      </c>
    </row>
    <row r="16" spans="1:6" x14ac:dyDescent="0.25">
      <c r="A16" s="75" t="s">
        <v>69</v>
      </c>
      <c r="B16" s="82">
        <v>1615028</v>
      </c>
      <c r="C16" s="55">
        <v>1500000</v>
      </c>
      <c r="D16" s="55">
        <v>1595927</v>
      </c>
      <c r="E16" s="153">
        <v>1500000</v>
      </c>
      <c r="F16" s="157">
        <v>1500000</v>
      </c>
    </row>
    <row r="17" spans="1:6" x14ac:dyDescent="0.25">
      <c r="A17" s="75" t="s">
        <v>139</v>
      </c>
      <c r="B17" s="82">
        <v>1339780</v>
      </c>
      <c r="C17" s="55"/>
      <c r="D17" s="55">
        <v>2072414</v>
      </c>
      <c r="E17" s="153">
        <v>1200000</v>
      </c>
      <c r="F17" s="157">
        <v>1200000</v>
      </c>
    </row>
    <row r="18" spans="1:6" ht="15.75" thickBot="1" x14ac:dyDescent="0.3">
      <c r="A18" s="77" t="s">
        <v>159</v>
      </c>
      <c r="B18" s="85">
        <v>0</v>
      </c>
      <c r="C18" s="78">
        <v>2000</v>
      </c>
      <c r="D18" s="78">
        <v>0</v>
      </c>
      <c r="E18" s="158">
        <v>2000</v>
      </c>
      <c r="F18" s="159">
        <v>2000</v>
      </c>
    </row>
    <row r="19" spans="1:6" x14ac:dyDescent="0.25">
      <c r="A19" s="70" t="s">
        <v>160</v>
      </c>
      <c r="B19" s="86">
        <v>114600</v>
      </c>
      <c r="C19" s="71">
        <v>150000</v>
      </c>
      <c r="D19" s="71">
        <f>79834+40148</f>
        <v>119982</v>
      </c>
      <c r="E19" s="160">
        <v>120000</v>
      </c>
      <c r="F19" s="160">
        <v>120000</v>
      </c>
    </row>
    <row r="20" spans="1:6" x14ac:dyDescent="0.25">
      <c r="A20" s="79" t="s">
        <v>161</v>
      </c>
      <c r="B20" s="83">
        <v>207200</v>
      </c>
      <c r="C20" s="69">
        <v>90000</v>
      </c>
      <c r="D20" s="69">
        <v>190400</v>
      </c>
      <c r="E20" s="94"/>
      <c r="F20" s="94"/>
    </row>
    <row r="21" spans="1:6" hidden="1" x14ac:dyDescent="0.25">
      <c r="A21" s="72" t="s">
        <v>162</v>
      </c>
      <c r="B21" s="84"/>
      <c r="C21" s="73"/>
      <c r="D21" s="73"/>
      <c r="E21" s="73"/>
      <c r="F21" s="74"/>
    </row>
    <row r="22" spans="1:6" hidden="1" x14ac:dyDescent="0.25">
      <c r="A22" s="75" t="s">
        <v>163</v>
      </c>
      <c r="B22" s="82"/>
      <c r="C22" s="55"/>
      <c r="D22" s="55"/>
      <c r="E22" s="55"/>
      <c r="F22" s="76"/>
    </row>
    <row r="23" spans="1:6" hidden="1" x14ac:dyDescent="0.25">
      <c r="A23" s="75" t="s">
        <v>164</v>
      </c>
      <c r="B23" s="82"/>
      <c r="C23" s="55"/>
      <c r="D23" s="55"/>
      <c r="E23" s="55"/>
      <c r="F23" s="76"/>
    </row>
    <row r="24" spans="1:6" hidden="1" x14ac:dyDescent="0.25">
      <c r="A24" s="75" t="s">
        <v>174</v>
      </c>
      <c r="B24" s="82"/>
      <c r="C24" s="55"/>
      <c r="D24" s="55"/>
      <c r="E24" s="55"/>
      <c r="F24" s="76"/>
    </row>
    <row r="25" spans="1:6" hidden="1" x14ac:dyDescent="0.25">
      <c r="A25" s="95" t="s">
        <v>175</v>
      </c>
      <c r="B25" s="83"/>
      <c r="C25" s="69"/>
      <c r="D25" s="69"/>
      <c r="E25" s="69"/>
      <c r="F25" s="96"/>
    </row>
    <row r="26" spans="1:6" ht="15.75" thickBot="1" x14ac:dyDescent="0.3">
      <c r="A26" s="64" t="s">
        <v>172</v>
      </c>
      <c r="B26" s="97">
        <f t="shared" ref="B26:F26" si="0">SUM(B2:B25)</f>
        <v>7105946</v>
      </c>
      <c r="C26" s="105">
        <f t="shared" si="0"/>
        <v>6290000</v>
      </c>
      <c r="D26" s="105">
        <f t="shared" si="0"/>
        <v>7910554</v>
      </c>
      <c r="E26" s="161">
        <f t="shared" si="0"/>
        <v>7470000</v>
      </c>
      <c r="F26" s="161">
        <f t="shared" si="0"/>
        <v>7480000</v>
      </c>
    </row>
    <row r="27" spans="1:6" ht="15.75" thickTop="1" x14ac:dyDescent="0.25">
      <c r="A27" s="11"/>
      <c r="B27" s="87"/>
      <c r="C27" s="56"/>
      <c r="D27" s="56"/>
      <c r="E27" s="56"/>
      <c r="F27" s="56"/>
    </row>
    <row r="28" spans="1:6" x14ac:dyDescent="0.25">
      <c r="A28" s="44"/>
      <c r="B28" s="107" t="s">
        <v>178</v>
      </c>
      <c r="C28" s="108" t="s">
        <v>169</v>
      </c>
      <c r="D28" s="106" t="s">
        <v>199</v>
      </c>
      <c r="E28" s="108" t="s">
        <v>171</v>
      </c>
      <c r="F28" s="108" t="s">
        <v>170</v>
      </c>
    </row>
    <row r="29" spans="1:6" x14ac:dyDescent="0.25">
      <c r="A29" s="12" t="s">
        <v>148</v>
      </c>
      <c r="B29" s="82">
        <f>604501.85+510000</f>
        <v>1114501.8500000001</v>
      </c>
      <c r="C29" s="55">
        <v>1100000</v>
      </c>
      <c r="D29" s="55">
        <f>avdelingsrapport2019!D7</f>
        <v>666883</v>
      </c>
      <c r="E29" s="153">
        <v>1200000</v>
      </c>
      <c r="F29" s="153">
        <v>1300000</v>
      </c>
    </row>
    <row r="30" spans="1:6" x14ac:dyDescent="0.25">
      <c r="A30" s="12" t="s">
        <v>149</v>
      </c>
      <c r="B30" s="82">
        <v>408263.55</v>
      </c>
      <c r="C30" s="55">
        <f>370000+3000-17000</f>
        <v>356000</v>
      </c>
      <c r="D30" s="55">
        <f>avdelingsrapport2019!D17</f>
        <v>449218</v>
      </c>
      <c r="E30" s="153">
        <v>450000</v>
      </c>
      <c r="F30" s="153">
        <v>450000</v>
      </c>
    </row>
    <row r="31" spans="1:6" x14ac:dyDescent="0.25">
      <c r="A31" s="12" t="s">
        <v>150</v>
      </c>
      <c r="B31" s="82">
        <v>0</v>
      </c>
      <c r="C31" s="55"/>
      <c r="D31" s="55">
        <v>0</v>
      </c>
      <c r="E31" s="153"/>
      <c r="F31" s="153"/>
    </row>
    <row r="32" spans="1:6" x14ac:dyDescent="0.25">
      <c r="A32" s="12" t="s">
        <v>151</v>
      </c>
      <c r="B32" s="82">
        <v>859955.6</v>
      </c>
      <c r="C32" s="55">
        <v>1050000</v>
      </c>
      <c r="D32" s="55">
        <f>avdelingsrapport2019!D30</f>
        <v>1043140</v>
      </c>
      <c r="E32" s="153">
        <v>1000000</v>
      </c>
      <c r="F32" s="153">
        <v>1000000</v>
      </c>
    </row>
    <row r="33" spans="1:11" x14ac:dyDescent="0.25">
      <c r="A33" s="12" t="s">
        <v>152</v>
      </c>
      <c r="B33" s="82">
        <v>7248</v>
      </c>
      <c r="C33" s="55">
        <v>10000</v>
      </c>
      <c r="D33" s="55">
        <v>0</v>
      </c>
      <c r="E33" s="153">
        <v>15000</v>
      </c>
      <c r="F33" s="153">
        <v>15000</v>
      </c>
    </row>
    <row r="34" spans="1:11" x14ac:dyDescent="0.25">
      <c r="A34" s="12" t="s">
        <v>153</v>
      </c>
      <c r="B34" s="82">
        <v>187218.2</v>
      </c>
      <c r="C34" s="55">
        <v>100000</v>
      </c>
      <c r="D34" s="55">
        <f>avdelingsrapport2019!D43</f>
        <v>201324</v>
      </c>
      <c r="E34" s="153">
        <v>80000</v>
      </c>
      <c r="F34" s="153">
        <v>80000</v>
      </c>
    </row>
    <row r="35" spans="1:11" x14ac:dyDescent="0.25">
      <c r="A35" s="12" t="s">
        <v>154</v>
      </c>
      <c r="B35" s="82">
        <v>0</v>
      </c>
      <c r="C35" s="55"/>
      <c r="D35" s="55">
        <v>0</v>
      </c>
      <c r="E35" s="153"/>
      <c r="F35" s="153"/>
    </row>
    <row r="36" spans="1:11" x14ac:dyDescent="0.25">
      <c r="A36" s="12" t="s">
        <v>155</v>
      </c>
      <c r="B36" s="82">
        <v>53591</v>
      </c>
      <c r="C36" s="55">
        <v>70000</v>
      </c>
      <c r="D36" s="55">
        <f>avdelingsrapport2019!D57</f>
        <v>62706</v>
      </c>
      <c r="E36" s="153">
        <v>70000</v>
      </c>
      <c r="F36" s="153">
        <v>70000</v>
      </c>
    </row>
    <row r="37" spans="1:11" ht="15.75" thickBot="1" x14ac:dyDescent="0.3">
      <c r="A37" s="79" t="s">
        <v>156</v>
      </c>
      <c r="B37" s="83">
        <v>53607.199999999997</v>
      </c>
      <c r="C37" s="69">
        <v>90000</v>
      </c>
      <c r="D37" s="69">
        <f>avdelingsrapport2019!D65</f>
        <v>32560</v>
      </c>
      <c r="E37" s="154">
        <v>70000</v>
      </c>
      <c r="F37" s="154">
        <v>50000</v>
      </c>
    </row>
    <row r="38" spans="1:11" x14ac:dyDescent="0.25">
      <c r="A38" s="72" t="s">
        <v>60</v>
      </c>
      <c r="B38" s="84">
        <v>202916.01</v>
      </c>
      <c r="C38" s="73">
        <v>75000</v>
      </c>
      <c r="D38" s="73">
        <f>avdelingsrapport2019!D70</f>
        <v>43000</v>
      </c>
      <c r="E38" s="155">
        <v>80000</v>
      </c>
      <c r="F38" s="156">
        <v>80000</v>
      </c>
    </row>
    <row r="39" spans="1:11" x14ac:dyDescent="0.25">
      <c r="A39" s="75" t="s">
        <v>157</v>
      </c>
      <c r="B39" s="82"/>
      <c r="C39" s="55">
        <v>3000</v>
      </c>
      <c r="D39" s="55">
        <f>avdelingsrapport2019!D75</f>
        <v>6750</v>
      </c>
      <c r="E39" s="153">
        <v>3000</v>
      </c>
      <c r="F39" s="157">
        <v>3000</v>
      </c>
    </row>
    <row r="40" spans="1:11" x14ac:dyDescent="0.25">
      <c r="A40" s="75" t="s">
        <v>136</v>
      </c>
      <c r="B40" s="82">
        <v>13875</v>
      </c>
      <c r="C40" s="55">
        <v>10000</v>
      </c>
      <c r="D40" s="55">
        <f>avdelingsrapport2019!D81</f>
        <v>9500</v>
      </c>
      <c r="E40" s="153">
        <v>10000</v>
      </c>
      <c r="F40" s="157">
        <v>10000</v>
      </c>
    </row>
    <row r="41" spans="1:11" x14ac:dyDescent="0.25">
      <c r="A41" s="75" t="s">
        <v>158</v>
      </c>
      <c r="B41" s="82">
        <v>0</v>
      </c>
      <c r="C41" s="55">
        <v>5000</v>
      </c>
      <c r="D41" s="55">
        <v>0</v>
      </c>
      <c r="E41" s="153">
        <v>5000</v>
      </c>
      <c r="F41" s="157">
        <v>5000</v>
      </c>
    </row>
    <row r="42" spans="1:11" x14ac:dyDescent="0.25">
      <c r="A42" s="75" t="s">
        <v>63</v>
      </c>
      <c r="B42" s="82">
        <v>557551</v>
      </c>
      <c r="C42" s="55">
        <f>1570000-26550+15000</f>
        <v>1558450</v>
      </c>
      <c r="D42" s="55">
        <f>avdelingsrapport2019!D92</f>
        <v>657347</v>
      </c>
      <c r="E42" s="153">
        <v>1500000</v>
      </c>
      <c r="F42" s="157">
        <v>1500000</v>
      </c>
    </row>
    <row r="43" spans="1:11" x14ac:dyDescent="0.25">
      <c r="A43" s="75" t="s">
        <v>69</v>
      </c>
      <c r="B43" s="82">
        <v>1571024.51</v>
      </c>
      <c r="C43" s="55">
        <v>1500000</v>
      </c>
      <c r="D43" s="55">
        <f>avdelingsrapport2019!D97</f>
        <v>1537490</v>
      </c>
      <c r="E43" s="153">
        <v>1500000</v>
      </c>
      <c r="F43" s="157">
        <v>1500000</v>
      </c>
    </row>
    <row r="44" spans="1:11" x14ac:dyDescent="0.25">
      <c r="A44" s="75" t="s">
        <v>139</v>
      </c>
      <c r="B44" s="82">
        <v>981489.41</v>
      </c>
      <c r="C44" s="55"/>
      <c r="D44" s="55">
        <f>avdelingsrapport2019!D113</f>
        <v>2113982</v>
      </c>
      <c r="E44" s="153">
        <v>1200000</v>
      </c>
      <c r="F44" s="157">
        <v>1200000</v>
      </c>
    </row>
    <row r="45" spans="1:11" ht="15.75" thickBot="1" x14ac:dyDescent="0.3">
      <c r="A45" s="80" t="s">
        <v>159</v>
      </c>
      <c r="B45" s="85"/>
      <c r="C45" s="78">
        <v>2000</v>
      </c>
      <c r="D45" s="78">
        <v>0</v>
      </c>
      <c r="E45" s="158">
        <v>2000</v>
      </c>
      <c r="F45" s="159">
        <v>2000</v>
      </c>
      <c r="I45" t="s">
        <v>0</v>
      </c>
      <c r="J45" s="136">
        <f>D19-D46</f>
        <v>117463</v>
      </c>
      <c r="K45" s="136">
        <f>J45-50000</f>
        <v>67463</v>
      </c>
    </row>
    <row r="46" spans="1:11" x14ac:dyDescent="0.25">
      <c r="A46" s="70" t="s">
        <v>160</v>
      </c>
      <c r="B46" s="86">
        <v>11310</v>
      </c>
      <c r="C46" s="71">
        <v>65000</v>
      </c>
      <c r="D46" s="71">
        <f>avdelingsrapport2019!D119</f>
        <v>2519</v>
      </c>
      <c r="E46" s="160">
        <v>50000</v>
      </c>
      <c r="F46" s="160">
        <v>50000</v>
      </c>
      <c r="I46" t="s">
        <v>168</v>
      </c>
      <c r="J46" s="136">
        <f>D20-D47</f>
        <v>-202795</v>
      </c>
    </row>
    <row r="47" spans="1:11" ht="15.75" thickBot="1" x14ac:dyDescent="0.3">
      <c r="A47" s="79" t="s">
        <v>161</v>
      </c>
      <c r="B47" s="83">
        <v>273932.48</v>
      </c>
      <c r="C47" s="69">
        <v>90000</v>
      </c>
      <c r="D47" s="69">
        <f>avdelingsrapport2019!D127</f>
        <v>393195</v>
      </c>
      <c r="E47" s="94"/>
      <c r="F47" s="94"/>
    </row>
    <row r="48" spans="1:11" x14ac:dyDescent="0.25">
      <c r="A48" s="72" t="s">
        <v>162</v>
      </c>
      <c r="B48" s="84">
        <v>102576.4</v>
      </c>
      <c r="C48" s="98">
        <v>0</v>
      </c>
      <c r="D48" s="150">
        <f>avdelingsrapport2019!D131</f>
        <v>105631</v>
      </c>
      <c r="E48" s="98">
        <v>0</v>
      </c>
      <c r="F48" s="99">
        <v>0</v>
      </c>
    </row>
    <row r="49" spans="1:11" x14ac:dyDescent="0.25">
      <c r="A49" s="75" t="s">
        <v>163</v>
      </c>
      <c r="B49" s="82">
        <v>0</v>
      </c>
      <c r="C49" s="100">
        <v>0</v>
      </c>
      <c r="D49" s="151">
        <f>avdelingsrapport2019!D134</f>
        <v>48270</v>
      </c>
      <c r="E49" s="100">
        <v>0</v>
      </c>
      <c r="F49" s="101">
        <v>0</v>
      </c>
    </row>
    <row r="50" spans="1:11" x14ac:dyDescent="0.25">
      <c r="A50" s="75" t="s">
        <v>164</v>
      </c>
      <c r="B50" s="82">
        <v>354169.91</v>
      </c>
      <c r="C50" s="100">
        <v>0</v>
      </c>
      <c r="D50" s="151">
        <f>avdelingsrapport2019!D139</f>
        <v>657452</v>
      </c>
      <c r="E50" s="100">
        <v>0</v>
      </c>
      <c r="F50" s="101">
        <v>0</v>
      </c>
    </row>
    <row r="51" spans="1:11" x14ac:dyDescent="0.25">
      <c r="A51" s="75" t="s">
        <v>177</v>
      </c>
      <c r="B51" s="82">
        <v>6000</v>
      </c>
      <c r="C51" s="100">
        <v>0</v>
      </c>
      <c r="D51" s="151">
        <v>0</v>
      </c>
      <c r="E51" s="100">
        <v>0</v>
      </c>
      <c r="F51" s="101">
        <v>0</v>
      </c>
    </row>
    <row r="52" spans="1:11" ht="15.75" thickBot="1" x14ac:dyDescent="0.3">
      <c r="A52" s="80" t="s">
        <v>175</v>
      </c>
      <c r="B52" s="85">
        <v>30750</v>
      </c>
      <c r="C52" s="102">
        <v>0</v>
      </c>
      <c r="D52" s="152">
        <f>avdelingsrapport2019!D141</f>
        <v>31250</v>
      </c>
      <c r="E52" s="102">
        <v>0</v>
      </c>
      <c r="F52" s="103">
        <v>0</v>
      </c>
    </row>
    <row r="53" spans="1:11" ht="15.75" thickBot="1" x14ac:dyDescent="0.3">
      <c r="A53" s="81" t="s">
        <v>173</v>
      </c>
      <c r="B53" s="88">
        <f>SUM(B29:B52)</f>
        <v>6789980.120000001</v>
      </c>
      <c r="C53" s="104">
        <f t="shared" ref="C53" si="1">SUM(C29:C50)+16550</f>
        <v>6101000</v>
      </c>
      <c r="D53" s="104">
        <f>SUM(D29:D52)</f>
        <v>8062217</v>
      </c>
      <c r="E53" s="162">
        <f>SUM(E29:E52)</f>
        <v>7235000</v>
      </c>
      <c r="F53" s="162">
        <f>SUM(F29:F52)</f>
        <v>7315000</v>
      </c>
    </row>
    <row r="54" spans="1:11" ht="16.5" thickTop="1" thickBot="1" x14ac:dyDescent="0.3">
      <c r="A54" s="65"/>
      <c r="B54" s="89"/>
      <c r="C54" s="66"/>
      <c r="D54" s="66"/>
      <c r="E54" s="66"/>
      <c r="F54" s="66"/>
      <c r="K54" s="136">
        <f>D55+D48+D49+D50+D52</f>
        <v>690940</v>
      </c>
    </row>
    <row r="55" spans="1:11" ht="15.75" thickBot="1" x14ac:dyDescent="0.3">
      <c r="A55" s="90" t="s">
        <v>1</v>
      </c>
      <c r="B55" s="92">
        <f t="shared" ref="B55:F55" si="2">B26-B53</f>
        <v>315965.87999999896</v>
      </c>
      <c r="C55" s="91">
        <f t="shared" si="2"/>
        <v>189000</v>
      </c>
      <c r="D55" s="91">
        <f t="shared" si="2"/>
        <v>-151663</v>
      </c>
      <c r="E55" s="91">
        <f t="shared" si="2"/>
        <v>235000</v>
      </c>
      <c r="F55" s="93">
        <f t="shared" si="2"/>
        <v>165000</v>
      </c>
    </row>
    <row r="56" spans="1:11" x14ac:dyDescent="0.25">
      <c r="A56" s="11"/>
      <c r="B56" s="87"/>
      <c r="C56" s="11"/>
      <c r="D56" s="11"/>
      <c r="E56" s="11"/>
      <c r="F56" s="11"/>
    </row>
    <row r="57" spans="1:11" x14ac:dyDescent="0.25">
      <c r="A57" s="11"/>
      <c r="B57" s="87"/>
      <c r="C57" s="56"/>
      <c r="D57" s="56"/>
      <c r="E57" s="11"/>
      <c r="F57" s="11"/>
    </row>
    <row r="59" spans="1:11" x14ac:dyDescent="0.25">
      <c r="D59" s="136"/>
    </row>
    <row r="60" spans="1:11" x14ac:dyDescent="0.25">
      <c r="D60" s="136"/>
    </row>
    <row r="61" spans="1:11" x14ac:dyDescent="0.25">
      <c r="D61" s="136"/>
    </row>
    <row r="62" spans="1:11" x14ac:dyDescent="0.25">
      <c r="D62" s="136"/>
    </row>
    <row r="63" spans="1:11" x14ac:dyDescent="0.25">
      <c r="D63" s="136"/>
    </row>
    <row r="64" spans="1:11" x14ac:dyDescent="0.25">
      <c r="D64" s="136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3912-0DA8-427B-9868-BBCE377CA54E}">
  <sheetPr>
    <tabColor rgb="FF00B050"/>
  </sheetPr>
  <dimension ref="A1:S36"/>
  <sheetViews>
    <sheetView topLeftCell="A22" zoomScale="85" zoomScaleNormal="85" workbookViewId="0">
      <selection activeCell="K22" sqref="K1:Y1048576"/>
    </sheetView>
  </sheetViews>
  <sheetFormatPr baseColWidth="10" defaultRowHeight="15.75" x14ac:dyDescent="0.25"/>
  <cols>
    <col min="1" max="1" width="2.7109375" style="2" customWidth="1"/>
    <col min="2" max="2" width="20.28515625" style="2" customWidth="1"/>
    <col min="3" max="3" width="17.140625" style="2" customWidth="1"/>
    <col min="4" max="4" width="13" style="2" customWidth="1"/>
    <col min="5" max="5" width="13.5703125" style="2" customWidth="1"/>
    <col min="6" max="6" width="15.28515625" style="2" customWidth="1"/>
    <col min="7" max="7" width="16" style="2" customWidth="1"/>
    <col min="8" max="8" width="19.140625" style="2" customWidth="1"/>
    <col min="9" max="9" width="6.140625" style="2" customWidth="1"/>
    <col min="10" max="10" width="3.7109375" style="2" customWidth="1"/>
    <col min="11" max="11" width="12.28515625" style="2" hidden="1" customWidth="1"/>
    <col min="12" max="12" width="26.42578125" style="2" hidden="1" customWidth="1"/>
    <col min="13" max="13" width="16" style="2" hidden="1" customWidth="1"/>
    <col min="14" max="14" width="11" style="2" hidden="1" customWidth="1"/>
    <col min="15" max="15" width="15.7109375" style="2" hidden="1" customWidth="1"/>
    <col min="16" max="16" width="15.5703125" style="2" hidden="1" customWidth="1"/>
    <col min="17" max="25" width="0" style="2" hidden="1" customWidth="1"/>
    <col min="26" max="259" width="11.42578125" style="2"/>
    <col min="260" max="260" width="14.140625" style="2" customWidth="1"/>
    <col min="261" max="261" width="14.85546875" style="2" customWidth="1"/>
    <col min="262" max="262" width="11.42578125" style="2"/>
    <col min="263" max="263" width="24.140625" style="2" customWidth="1"/>
    <col min="264" max="515" width="11.42578125" style="2"/>
    <col min="516" max="516" width="14.140625" style="2" customWidth="1"/>
    <col min="517" max="517" width="14.85546875" style="2" customWidth="1"/>
    <col min="518" max="518" width="11.42578125" style="2"/>
    <col min="519" max="519" width="24.140625" style="2" customWidth="1"/>
    <col min="520" max="771" width="11.42578125" style="2"/>
    <col min="772" max="772" width="14.140625" style="2" customWidth="1"/>
    <col min="773" max="773" width="14.85546875" style="2" customWidth="1"/>
    <col min="774" max="774" width="11.42578125" style="2"/>
    <col min="775" max="775" width="24.140625" style="2" customWidth="1"/>
    <col min="776" max="1027" width="11.42578125" style="2"/>
    <col min="1028" max="1028" width="14.140625" style="2" customWidth="1"/>
    <col min="1029" max="1029" width="14.85546875" style="2" customWidth="1"/>
    <col min="1030" max="1030" width="11.42578125" style="2"/>
    <col min="1031" max="1031" width="24.140625" style="2" customWidth="1"/>
    <col min="1032" max="1283" width="11.42578125" style="2"/>
    <col min="1284" max="1284" width="14.140625" style="2" customWidth="1"/>
    <col min="1285" max="1285" width="14.85546875" style="2" customWidth="1"/>
    <col min="1286" max="1286" width="11.42578125" style="2"/>
    <col min="1287" max="1287" width="24.140625" style="2" customWidth="1"/>
    <col min="1288" max="1539" width="11.42578125" style="2"/>
    <col min="1540" max="1540" width="14.140625" style="2" customWidth="1"/>
    <col min="1541" max="1541" width="14.85546875" style="2" customWidth="1"/>
    <col min="1542" max="1542" width="11.42578125" style="2"/>
    <col min="1543" max="1543" width="24.140625" style="2" customWidth="1"/>
    <col min="1544" max="1795" width="11.42578125" style="2"/>
    <col min="1796" max="1796" width="14.140625" style="2" customWidth="1"/>
    <col min="1797" max="1797" width="14.85546875" style="2" customWidth="1"/>
    <col min="1798" max="1798" width="11.42578125" style="2"/>
    <col min="1799" max="1799" width="24.140625" style="2" customWidth="1"/>
    <col min="1800" max="2051" width="11.42578125" style="2"/>
    <col min="2052" max="2052" width="14.140625" style="2" customWidth="1"/>
    <col min="2053" max="2053" width="14.85546875" style="2" customWidth="1"/>
    <col min="2054" max="2054" width="11.42578125" style="2"/>
    <col min="2055" max="2055" width="24.140625" style="2" customWidth="1"/>
    <col min="2056" max="2307" width="11.42578125" style="2"/>
    <col min="2308" max="2308" width="14.140625" style="2" customWidth="1"/>
    <col min="2309" max="2309" width="14.85546875" style="2" customWidth="1"/>
    <col min="2310" max="2310" width="11.42578125" style="2"/>
    <col min="2311" max="2311" width="24.140625" style="2" customWidth="1"/>
    <col min="2312" max="2563" width="11.42578125" style="2"/>
    <col min="2564" max="2564" width="14.140625" style="2" customWidth="1"/>
    <col min="2565" max="2565" width="14.85546875" style="2" customWidth="1"/>
    <col min="2566" max="2566" width="11.42578125" style="2"/>
    <col min="2567" max="2567" width="24.140625" style="2" customWidth="1"/>
    <col min="2568" max="2819" width="11.42578125" style="2"/>
    <col min="2820" max="2820" width="14.140625" style="2" customWidth="1"/>
    <col min="2821" max="2821" width="14.85546875" style="2" customWidth="1"/>
    <col min="2822" max="2822" width="11.42578125" style="2"/>
    <col min="2823" max="2823" width="24.140625" style="2" customWidth="1"/>
    <col min="2824" max="3075" width="11.42578125" style="2"/>
    <col min="3076" max="3076" width="14.140625" style="2" customWidth="1"/>
    <col min="3077" max="3077" width="14.85546875" style="2" customWidth="1"/>
    <col min="3078" max="3078" width="11.42578125" style="2"/>
    <col min="3079" max="3079" width="24.140625" style="2" customWidth="1"/>
    <col min="3080" max="3331" width="11.42578125" style="2"/>
    <col min="3332" max="3332" width="14.140625" style="2" customWidth="1"/>
    <col min="3333" max="3333" width="14.85546875" style="2" customWidth="1"/>
    <col min="3334" max="3334" width="11.42578125" style="2"/>
    <col min="3335" max="3335" width="24.140625" style="2" customWidth="1"/>
    <col min="3336" max="3587" width="11.42578125" style="2"/>
    <col min="3588" max="3588" width="14.140625" style="2" customWidth="1"/>
    <col min="3589" max="3589" width="14.85546875" style="2" customWidth="1"/>
    <col min="3590" max="3590" width="11.42578125" style="2"/>
    <col min="3591" max="3591" width="24.140625" style="2" customWidth="1"/>
    <col min="3592" max="3843" width="11.42578125" style="2"/>
    <col min="3844" max="3844" width="14.140625" style="2" customWidth="1"/>
    <col min="3845" max="3845" width="14.85546875" style="2" customWidth="1"/>
    <col min="3846" max="3846" width="11.42578125" style="2"/>
    <col min="3847" max="3847" width="24.140625" style="2" customWidth="1"/>
    <col min="3848" max="4099" width="11.42578125" style="2"/>
    <col min="4100" max="4100" width="14.140625" style="2" customWidth="1"/>
    <col min="4101" max="4101" width="14.85546875" style="2" customWidth="1"/>
    <col min="4102" max="4102" width="11.42578125" style="2"/>
    <col min="4103" max="4103" width="24.140625" style="2" customWidth="1"/>
    <col min="4104" max="4355" width="11.42578125" style="2"/>
    <col min="4356" max="4356" width="14.140625" style="2" customWidth="1"/>
    <col min="4357" max="4357" width="14.85546875" style="2" customWidth="1"/>
    <col min="4358" max="4358" width="11.42578125" style="2"/>
    <col min="4359" max="4359" width="24.140625" style="2" customWidth="1"/>
    <col min="4360" max="4611" width="11.42578125" style="2"/>
    <col min="4612" max="4612" width="14.140625" style="2" customWidth="1"/>
    <col min="4613" max="4613" width="14.85546875" style="2" customWidth="1"/>
    <col min="4614" max="4614" width="11.42578125" style="2"/>
    <col min="4615" max="4615" width="24.140625" style="2" customWidth="1"/>
    <col min="4616" max="4867" width="11.42578125" style="2"/>
    <col min="4868" max="4868" width="14.140625" style="2" customWidth="1"/>
    <col min="4869" max="4869" width="14.85546875" style="2" customWidth="1"/>
    <col min="4870" max="4870" width="11.42578125" style="2"/>
    <col min="4871" max="4871" width="24.140625" style="2" customWidth="1"/>
    <col min="4872" max="5123" width="11.42578125" style="2"/>
    <col min="5124" max="5124" width="14.140625" style="2" customWidth="1"/>
    <col min="5125" max="5125" width="14.85546875" style="2" customWidth="1"/>
    <col min="5126" max="5126" width="11.42578125" style="2"/>
    <col min="5127" max="5127" width="24.140625" style="2" customWidth="1"/>
    <col min="5128" max="5379" width="11.42578125" style="2"/>
    <col min="5380" max="5380" width="14.140625" style="2" customWidth="1"/>
    <col min="5381" max="5381" width="14.85546875" style="2" customWidth="1"/>
    <col min="5382" max="5382" width="11.42578125" style="2"/>
    <col min="5383" max="5383" width="24.140625" style="2" customWidth="1"/>
    <col min="5384" max="5635" width="11.42578125" style="2"/>
    <col min="5636" max="5636" width="14.140625" style="2" customWidth="1"/>
    <col min="5637" max="5637" width="14.85546875" style="2" customWidth="1"/>
    <col min="5638" max="5638" width="11.42578125" style="2"/>
    <col min="5639" max="5639" width="24.140625" style="2" customWidth="1"/>
    <col min="5640" max="5891" width="11.42578125" style="2"/>
    <col min="5892" max="5892" width="14.140625" style="2" customWidth="1"/>
    <col min="5893" max="5893" width="14.85546875" style="2" customWidth="1"/>
    <col min="5894" max="5894" width="11.42578125" style="2"/>
    <col min="5895" max="5895" width="24.140625" style="2" customWidth="1"/>
    <col min="5896" max="6147" width="11.42578125" style="2"/>
    <col min="6148" max="6148" width="14.140625" style="2" customWidth="1"/>
    <col min="6149" max="6149" width="14.85546875" style="2" customWidth="1"/>
    <col min="6150" max="6150" width="11.42578125" style="2"/>
    <col min="6151" max="6151" width="24.140625" style="2" customWidth="1"/>
    <col min="6152" max="6403" width="11.42578125" style="2"/>
    <col min="6404" max="6404" width="14.140625" style="2" customWidth="1"/>
    <col min="6405" max="6405" width="14.85546875" style="2" customWidth="1"/>
    <col min="6406" max="6406" width="11.42578125" style="2"/>
    <col min="6407" max="6407" width="24.140625" style="2" customWidth="1"/>
    <col min="6408" max="6659" width="11.42578125" style="2"/>
    <col min="6660" max="6660" width="14.140625" style="2" customWidth="1"/>
    <col min="6661" max="6661" width="14.85546875" style="2" customWidth="1"/>
    <col min="6662" max="6662" width="11.42578125" style="2"/>
    <col min="6663" max="6663" width="24.140625" style="2" customWidth="1"/>
    <col min="6664" max="6915" width="11.42578125" style="2"/>
    <col min="6916" max="6916" width="14.140625" style="2" customWidth="1"/>
    <col min="6917" max="6917" width="14.85546875" style="2" customWidth="1"/>
    <col min="6918" max="6918" width="11.42578125" style="2"/>
    <col min="6919" max="6919" width="24.140625" style="2" customWidth="1"/>
    <col min="6920" max="7171" width="11.42578125" style="2"/>
    <col min="7172" max="7172" width="14.140625" style="2" customWidth="1"/>
    <col min="7173" max="7173" width="14.85546875" style="2" customWidth="1"/>
    <col min="7174" max="7174" width="11.42578125" style="2"/>
    <col min="7175" max="7175" width="24.140625" style="2" customWidth="1"/>
    <col min="7176" max="7427" width="11.42578125" style="2"/>
    <col min="7428" max="7428" width="14.140625" style="2" customWidth="1"/>
    <col min="7429" max="7429" width="14.85546875" style="2" customWidth="1"/>
    <col min="7430" max="7430" width="11.42578125" style="2"/>
    <col min="7431" max="7431" width="24.140625" style="2" customWidth="1"/>
    <col min="7432" max="7683" width="11.42578125" style="2"/>
    <col min="7684" max="7684" width="14.140625" style="2" customWidth="1"/>
    <col min="7685" max="7685" width="14.85546875" style="2" customWidth="1"/>
    <col min="7686" max="7686" width="11.42578125" style="2"/>
    <col min="7687" max="7687" width="24.140625" style="2" customWidth="1"/>
    <col min="7688" max="7939" width="11.42578125" style="2"/>
    <col min="7940" max="7940" width="14.140625" style="2" customWidth="1"/>
    <col min="7941" max="7941" width="14.85546875" style="2" customWidth="1"/>
    <col min="7942" max="7942" width="11.42578125" style="2"/>
    <col min="7943" max="7943" width="24.140625" style="2" customWidth="1"/>
    <col min="7944" max="8195" width="11.42578125" style="2"/>
    <col min="8196" max="8196" width="14.140625" style="2" customWidth="1"/>
    <col min="8197" max="8197" width="14.85546875" style="2" customWidth="1"/>
    <col min="8198" max="8198" width="11.42578125" style="2"/>
    <col min="8199" max="8199" width="24.140625" style="2" customWidth="1"/>
    <col min="8200" max="8451" width="11.42578125" style="2"/>
    <col min="8452" max="8452" width="14.140625" style="2" customWidth="1"/>
    <col min="8453" max="8453" width="14.85546875" style="2" customWidth="1"/>
    <col min="8454" max="8454" width="11.42578125" style="2"/>
    <col min="8455" max="8455" width="24.140625" style="2" customWidth="1"/>
    <col min="8456" max="8707" width="11.42578125" style="2"/>
    <col min="8708" max="8708" width="14.140625" style="2" customWidth="1"/>
    <col min="8709" max="8709" width="14.85546875" style="2" customWidth="1"/>
    <col min="8710" max="8710" width="11.42578125" style="2"/>
    <col min="8711" max="8711" width="24.140625" style="2" customWidth="1"/>
    <col min="8712" max="8963" width="11.42578125" style="2"/>
    <col min="8964" max="8964" width="14.140625" style="2" customWidth="1"/>
    <col min="8965" max="8965" width="14.85546875" style="2" customWidth="1"/>
    <col min="8966" max="8966" width="11.42578125" style="2"/>
    <col min="8967" max="8967" width="24.140625" style="2" customWidth="1"/>
    <col min="8968" max="9219" width="11.42578125" style="2"/>
    <col min="9220" max="9220" width="14.140625" style="2" customWidth="1"/>
    <col min="9221" max="9221" width="14.85546875" style="2" customWidth="1"/>
    <col min="9222" max="9222" width="11.42578125" style="2"/>
    <col min="9223" max="9223" width="24.140625" style="2" customWidth="1"/>
    <col min="9224" max="9475" width="11.42578125" style="2"/>
    <col min="9476" max="9476" width="14.140625" style="2" customWidth="1"/>
    <col min="9477" max="9477" width="14.85546875" style="2" customWidth="1"/>
    <col min="9478" max="9478" width="11.42578125" style="2"/>
    <col min="9479" max="9479" width="24.140625" style="2" customWidth="1"/>
    <col min="9480" max="9731" width="11.42578125" style="2"/>
    <col min="9732" max="9732" width="14.140625" style="2" customWidth="1"/>
    <col min="9733" max="9733" width="14.85546875" style="2" customWidth="1"/>
    <col min="9734" max="9734" width="11.42578125" style="2"/>
    <col min="9735" max="9735" width="24.140625" style="2" customWidth="1"/>
    <col min="9736" max="9987" width="11.42578125" style="2"/>
    <col min="9988" max="9988" width="14.140625" style="2" customWidth="1"/>
    <col min="9989" max="9989" width="14.85546875" style="2" customWidth="1"/>
    <col min="9990" max="9990" width="11.42578125" style="2"/>
    <col min="9991" max="9991" width="24.140625" style="2" customWidth="1"/>
    <col min="9992" max="10243" width="11.42578125" style="2"/>
    <col min="10244" max="10244" width="14.140625" style="2" customWidth="1"/>
    <col min="10245" max="10245" width="14.85546875" style="2" customWidth="1"/>
    <col min="10246" max="10246" width="11.42578125" style="2"/>
    <col min="10247" max="10247" width="24.140625" style="2" customWidth="1"/>
    <col min="10248" max="10499" width="11.42578125" style="2"/>
    <col min="10500" max="10500" width="14.140625" style="2" customWidth="1"/>
    <col min="10501" max="10501" width="14.85546875" style="2" customWidth="1"/>
    <col min="10502" max="10502" width="11.42578125" style="2"/>
    <col min="10503" max="10503" width="24.140625" style="2" customWidth="1"/>
    <col min="10504" max="10755" width="11.42578125" style="2"/>
    <col min="10756" max="10756" width="14.140625" style="2" customWidth="1"/>
    <col min="10757" max="10757" width="14.85546875" style="2" customWidth="1"/>
    <col min="10758" max="10758" width="11.42578125" style="2"/>
    <col min="10759" max="10759" width="24.140625" style="2" customWidth="1"/>
    <col min="10760" max="11011" width="11.42578125" style="2"/>
    <col min="11012" max="11012" width="14.140625" style="2" customWidth="1"/>
    <col min="11013" max="11013" width="14.85546875" style="2" customWidth="1"/>
    <col min="11014" max="11014" width="11.42578125" style="2"/>
    <col min="11015" max="11015" width="24.140625" style="2" customWidth="1"/>
    <col min="11016" max="11267" width="11.42578125" style="2"/>
    <col min="11268" max="11268" width="14.140625" style="2" customWidth="1"/>
    <col min="11269" max="11269" width="14.85546875" style="2" customWidth="1"/>
    <col min="11270" max="11270" width="11.42578125" style="2"/>
    <col min="11271" max="11271" width="24.140625" style="2" customWidth="1"/>
    <col min="11272" max="11523" width="11.42578125" style="2"/>
    <col min="11524" max="11524" width="14.140625" style="2" customWidth="1"/>
    <col min="11525" max="11525" width="14.85546875" style="2" customWidth="1"/>
    <col min="11526" max="11526" width="11.42578125" style="2"/>
    <col min="11527" max="11527" width="24.140625" style="2" customWidth="1"/>
    <col min="11528" max="11779" width="11.42578125" style="2"/>
    <col min="11780" max="11780" width="14.140625" style="2" customWidth="1"/>
    <col min="11781" max="11781" width="14.85546875" style="2" customWidth="1"/>
    <col min="11782" max="11782" width="11.42578125" style="2"/>
    <col min="11783" max="11783" width="24.140625" style="2" customWidth="1"/>
    <col min="11784" max="12035" width="11.42578125" style="2"/>
    <col min="12036" max="12036" width="14.140625" style="2" customWidth="1"/>
    <col min="12037" max="12037" width="14.85546875" style="2" customWidth="1"/>
    <col min="12038" max="12038" width="11.42578125" style="2"/>
    <col min="12039" max="12039" width="24.140625" style="2" customWidth="1"/>
    <col min="12040" max="12291" width="11.42578125" style="2"/>
    <col min="12292" max="12292" width="14.140625" style="2" customWidth="1"/>
    <col min="12293" max="12293" width="14.85546875" style="2" customWidth="1"/>
    <col min="12294" max="12294" width="11.42578125" style="2"/>
    <col min="12295" max="12295" width="24.140625" style="2" customWidth="1"/>
    <col min="12296" max="12547" width="11.42578125" style="2"/>
    <col min="12548" max="12548" width="14.140625" style="2" customWidth="1"/>
    <col min="12549" max="12549" width="14.85546875" style="2" customWidth="1"/>
    <col min="12550" max="12550" width="11.42578125" style="2"/>
    <col min="12551" max="12551" width="24.140625" style="2" customWidth="1"/>
    <col min="12552" max="12803" width="11.42578125" style="2"/>
    <col min="12804" max="12804" width="14.140625" style="2" customWidth="1"/>
    <col min="12805" max="12805" width="14.85546875" style="2" customWidth="1"/>
    <col min="12806" max="12806" width="11.42578125" style="2"/>
    <col min="12807" max="12807" width="24.140625" style="2" customWidth="1"/>
    <col min="12808" max="13059" width="11.42578125" style="2"/>
    <col min="13060" max="13060" width="14.140625" style="2" customWidth="1"/>
    <col min="13061" max="13061" width="14.85546875" style="2" customWidth="1"/>
    <col min="13062" max="13062" width="11.42578125" style="2"/>
    <col min="13063" max="13063" width="24.140625" style="2" customWidth="1"/>
    <col min="13064" max="13315" width="11.42578125" style="2"/>
    <col min="13316" max="13316" width="14.140625" style="2" customWidth="1"/>
    <col min="13317" max="13317" width="14.85546875" style="2" customWidth="1"/>
    <col min="13318" max="13318" width="11.42578125" style="2"/>
    <col min="13319" max="13319" width="24.140625" style="2" customWidth="1"/>
    <col min="13320" max="13571" width="11.42578125" style="2"/>
    <col min="13572" max="13572" width="14.140625" style="2" customWidth="1"/>
    <col min="13573" max="13573" width="14.85546875" style="2" customWidth="1"/>
    <col min="13574" max="13574" width="11.42578125" style="2"/>
    <col min="13575" max="13575" width="24.140625" style="2" customWidth="1"/>
    <col min="13576" max="13827" width="11.42578125" style="2"/>
    <col min="13828" max="13828" width="14.140625" style="2" customWidth="1"/>
    <col min="13829" max="13829" width="14.85546875" style="2" customWidth="1"/>
    <col min="13830" max="13830" width="11.42578125" style="2"/>
    <col min="13831" max="13831" width="24.140625" style="2" customWidth="1"/>
    <col min="13832" max="14083" width="11.42578125" style="2"/>
    <col min="14084" max="14084" width="14.140625" style="2" customWidth="1"/>
    <col min="14085" max="14085" width="14.85546875" style="2" customWidth="1"/>
    <col min="14086" max="14086" width="11.42578125" style="2"/>
    <col min="14087" max="14087" width="24.140625" style="2" customWidth="1"/>
    <col min="14088" max="14339" width="11.42578125" style="2"/>
    <col min="14340" max="14340" width="14.140625" style="2" customWidth="1"/>
    <col min="14341" max="14341" width="14.85546875" style="2" customWidth="1"/>
    <col min="14342" max="14342" width="11.42578125" style="2"/>
    <col min="14343" max="14343" width="24.140625" style="2" customWidth="1"/>
    <col min="14344" max="14595" width="11.42578125" style="2"/>
    <col min="14596" max="14596" width="14.140625" style="2" customWidth="1"/>
    <col min="14597" max="14597" width="14.85546875" style="2" customWidth="1"/>
    <col min="14598" max="14598" width="11.42578125" style="2"/>
    <col min="14599" max="14599" width="24.140625" style="2" customWidth="1"/>
    <col min="14600" max="14851" width="11.42578125" style="2"/>
    <col min="14852" max="14852" width="14.140625" style="2" customWidth="1"/>
    <col min="14853" max="14853" width="14.85546875" style="2" customWidth="1"/>
    <col min="14854" max="14854" width="11.42578125" style="2"/>
    <col min="14855" max="14855" width="24.140625" style="2" customWidth="1"/>
    <col min="14856" max="15107" width="11.42578125" style="2"/>
    <col min="15108" max="15108" width="14.140625" style="2" customWidth="1"/>
    <col min="15109" max="15109" width="14.85546875" style="2" customWidth="1"/>
    <col min="15110" max="15110" width="11.42578125" style="2"/>
    <col min="15111" max="15111" width="24.140625" style="2" customWidth="1"/>
    <col min="15112" max="15363" width="11.42578125" style="2"/>
    <col min="15364" max="15364" width="14.140625" style="2" customWidth="1"/>
    <col min="15365" max="15365" width="14.85546875" style="2" customWidth="1"/>
    <col min="15366" max="15366" width="11.42578125" style="2"/>
    <col min="15367" max="15367" width="24.140625" style="2" customWidth="1"/>
    <col min="15368" max="15619" width="11.42578125" style="2"/>
    <col min="15620" max="15620" width="14.140625" style="2" customWidth="1"/>
    <col min="15621" max="15621" width="14.85546875" style="2" customWidth="1"/>
    <col min="15622" max="15622" width="11.42578125" style="2"/>
    <col min="15623" max="15623" width="24.140625" style="2" customWidth="1"/>
    <col min="15624" max="15875" width="11.42578125" style="2"/>
    <col min="15876" max="15876" width="14.140625" style="2" customWidth="1"/>
    <col min="15877" max="15877" width="14.85546875" style="2" customWidth="1"/>
    <col min="15878" max="15878" width="11.42578125" style="2"/>
    <col min="15879" max="15879" width="24.140625" style="2" customWidth="1"/>
    <col min="15880" max="16131" width="11.42578125" style="2"/>
    <col min="16132" max="16132" width="14.140625" style="2" customWidth="1"/>
    <col min="16133" max="16133" width="14.85546875" style="2" customWidth="1"/>
    <col min="16134" max="16134" width="11.42578125" style="2"/>
    <col min="16135" max="16135" width="24.140625" style="2" customWidth="1"/>
    <col min="16136" max="16384" width="11.42578125" style="2"/>
  </cols>
  <sheetData>
    <row r="1" spans="1:19" ht="63" hidden="1" x14ac:dyDescent="0.25">
      <c r="A1" s="16"/>
      <c r="B1" s="3"/>
      <c r="C1" s="7">
        <v>43466</v>
      </c>
      <c r="D1" s="8" t="s">
        <v>204</v>
      </c>
      <c r="E1" s="8" t="s">
        <v>200</v>
      </c>
      <c r="F1" s="14" t="s">
        <v>321</v>
      </c>
      <c r="G1" s="23" t="s">
        <v>201</v>
      </c>
      <c r="H1" s="10" t="s">
        <v>203</v>
      </c>
      <c r="I1" s="16"/>
      <c r="J1" s="16"/>
      <c r="K1" s="1" t="s">
        <v>320</v>
      </c>
      <c r="L1" s="16"/>
      <c r="M1" s="16"/>
      <c r="N1" s="16"/>
      <c r="O1" s="16"/>
    </row>
    <row r="2" spans="1:19" hidden="1" x14ac:dyDescent="0.25">
      <c r="A2" s="16"/>
      <c r="B2" s="3" t="s">
        <v>2</v>
      </c>
      <c r="C2" s="5">
        <f>-1456167-78936</f>
        <v>-1535103</v>
      </c>
      <c r="D2" s="2">
        <v>0</v>
      </c>
      <c r="E2" s="171">
        <v>50000</v>
      </c>
      <c r="F2" s="17">
        <f t="shared" ref="F2:F12" si="0">SUM(C2:E2)</f>
        <v>-1485103</v>
      </c>
      <c r="G2" s="163">
        <v>0</v>
      </c>
      <c r="H2" s="17">
        <v>-1485103</v>
      </c>
      <c r="I2" s="16"/>
      <c r="J2" s="16"/>
      <c r="K2" s="46"/>
      <c r="L2" s="167" t="s">
        <v>19</v>
      </c>
      <c r="M2" s="168" t="s">
        <v>20</v>
      </c>
      <c r="N2" s="169" t="s">
        <v>18</v>
      </c>
      <c r="O2" s="169" t="s">
        <v>205</v>
      </c>
      <c r="P2" s="169" t="s">
        <v>12</v>
      </c>
    </row>
    <row r="3" spans="1:19" hidden="1" x14ac:dyDescent="0.25">
      <c r="A3" s="16"/>
      <c r="B3" s="3" t="s">
        <v>0</v>
      </c>
      <c r="C3" s="5">
        <v>-441008</v>
      </c>
      <c r="D3" s="4">
        <v>0</v>
      </c>
      <c r="E3" s="4">
        <v>-50000</v>
      </c>
      <c r="F3" s="17">
        <f t="shared" si="0"/>
        <v>-491008</v>
      </c>
      <c r="G3" s="163">
        <v>0</v>
      </c>
      <c r="H3" s="17">
        <v>-491008</v>
      </c>
      <c r="I3" s="16"/>
      <c r="J3" s="16"/>
      <c r="K3" s="170" t="s">
        <v>7</v>
      </c>
      <c r="L3" s="146">
        <v>1999</v>
      </c>
      <c r="M3" s="5">
        <f>M17*0.03</f>
        <v>19021.41</v>
      </c>
      <c r="N3" s="21">
        <v>15</v>
      </c>
      <c r="O3" s="5">
        <f>M18*N3/100</f>
        <v>75134.569499999998</v>
      </c>
      <c r="P3" s="17">
        <f t="shared" ref="P3:P9" si="1">M3+O3</f>
        <v>94155.979500000001</v>
      </c>
      <c r="Q3" s="15">
        <f>P3-P3-P3</f>
        <v>-94155.979500000001</v>
      </c>
      <c r="S3" s="2">
        <f>L3/L10*100</f>
        <v>15.051577441457722</v>
      </c>
    </row>
    <row r="4" spans="1:19" hidden="1" x14ac:dyDescent="0.25">
      <c r="A4" s="16"/>
      <c r="B4" s="3" t="s">
        <v>3</v>
      </c>
      <c r="C4" s="5">
        <v>-201905.03231869999</v>
      </c>
      <c r="D4" s="4">
        <v>105631</v>
      </c>
      <c r="E4" s="4">
        <v>-22500</v>
      </c>
      <c r="F4" s="17">
        <f t="shared" si="0"/>
        <v>-118774.03231869999</v>
      </c>
      <c r="G4" s="24">
        <f>Q3</f>
        <v>-94155.979500000001</v>
      </c>
      <c r="H4" s="17">
        <v>-212930.0118187</v>
      </c>
      <c r="I4" s="16"/>
      <c r="J4" s="16"/>
      <c r="K4" s="170" t="s">
        <v>8</v>
      </c>
      <c r="L4" s="146">
        <v>1599</v>
      </c>
      <c r="M4" s="5">
        <f>M17*0.03</f>
        <v>19021.41</v>
      </c>
      <c r="N4" s="21">
        <v>12</v>
      </c>
      <c r="O4" s="5">
        <f>M18*N4/100</f>
        <v>60107.655600000006</v>
      </c>
      <c r="P4" s="17">
        <f t="shared" si="1"/>
        <v>79129.065600000002</v>
      </c>
      <c r="Q4" s="15">
        <f t="shared" ref="Q4:Q9" si="2">P4-P4-P4</f>
        <v>-79129.065600000002</v>
      </c>
      <c r="S4" s="2">
        <f>L4*100/L10</f>
        <v>12.039756042466681</v>
      </c>
    </row>
    <row r="5" spans="1:19" hidden="1" x14ac:dyDescent="0.25">
      <c r="A5" s="16"/>
      <c r="B5" s="3" t="s">
        <v>4</v>
      </c>
      <c r="C5" s="5">
        <v>-151232.56960819999</v>
      </c>
      <c r="D5" s="4">
        <v>48270</v>
      </c>
      <c r="E5" s="4">
        <v>-22500</v>
      </c>
      <c r="F5" s="17">
        <f t="shared" si="0"/>
        <v>-125462.56960819999</v>
      </c>
      <c r="G5" s="24">
        <f>Q5+Q6</f>
        <v>-49062.556859999997</v>
      </c>
      <c r="H5" s="17">
        <v>-174525.1264682</v>
      </c>
      <c r="I5" s="16"/>
      <c r="J5" s="16"/>
      <c r="K5" s="170" t="s">
        <v>10</v>
      </c>
      <c r="L5" s="146">
        <v>173</v>
      </c>
      <c r="M5" s="5">
        <f>M17*0.03</f>
        <v>19021.41</v>
      </c>
      <c r="N5" s="21">
        <v>1.3</v>
      </c>
      <c r="O5" s="5">
        <f>M18*N5/100</f>
        <v>6511.6626900000001</v>
      </c>
      <c r="P5" s="17">
        <f t="shared" si="1"/>
        <v>25533.072690000001</v>
      </c>
      <c r="Q5" s="15">
        <f t="shared" si="2"/>
        <v>-25533.072690000001</v>
      </c>
      <c r="S5" s="2">
        <f>L5/L10*100</f>
        <v>1.3026127550636246</v>
      </c>
    </row>
    <row r="6" spans="1:19" hidden="1" x14ac:dyDescent="0.25">
      <c r="A6" s="16"/>
      <c r="B6" s="3" t="s">
        <v>5</v>
      </c>
      <c r="C6" s="5">
        <v>-1033658.8593525001</v>
      </c>
      <c r="D6" s="4">
        <v>657452</v>
      </c>
      <c r="E6" s="4">
        <v>-177188</v>
      </c>
      <c r="F6" s="17">
        <f t="shared" si="0"/>
        <v>-553394.85935250006</v>
      </c>
      <c r="G6" s="24">
        <f>Q7</f>
        <v>-372153.88664999994</v>
      </c>
      <c r="H6" s="17">
        <v>-925548.74600249995</v>
      </c>
      <c r="I6" s="16"/>
      <c r="J6" s="16"/>
      <c r="K6" s="170" t="s">
        <v>11</v>
      </c>
      <c r="L6" s="146">
        <v>112</v>
      </c>
      <c r="M6" s="5">
        <f>M17*0.03</f>
        <v>19021.41</v>
      </c>
      <c r="N6" s="21">
        <v>0.9</v>
      </c>
      <c r="O6" s="5">
        <f>M18*N6/100</f>
        <v>4508.0741699999999</v>
      </c>
      <c r="P6" s="17">
        <f t="shared" si="1"/>
        <v>23529.48417</v>
      </c>
      <c r="Q6" s="15">
        <f t="shared" si="2"/>
        <v>-23529.48417</v>
      </c>
      <c r="S6" s="2">
        <f>L6/L10*100</f>
        <v>0.84330999171749121</v>
      </c>
    </row>
    <row r="7" spans="1:19" hidden="1" x14ac:dyDescent="0.25">
      <c r="A7" s="16"/>
      <c r="B7" s="3" t="s">
        <v>165</v>
      </c>
      <c r="C7" s="5">
        <v>-358281</v>
      </c>
      <c r="D7" s="4">
        <v>0</v>
      </c>
      <c r="E7" s="4">
        <v>0</v>
      </c>
      <c r="F7" s="17">
        <f t="shared" si="0"/>
        <v>-358281</v>
      </c>
      <c r="G7" s="163">
        <v>0</v>
      </c>
      <c r="H7" s="17">
        <v>-358281</v>
      </c>
      <c r="I7" s="16"/>
      <c r="J7" s="16"/>
      <c r="K7" s="170" t="s">
        <v>5</v>
      </c>
      <c r="L7" s="146">
        <f>13732-4367</f>
        <v>9365</v>
      </c>
      <c r="M7" s="5">
        <f>M17*0.03</f>
        <v>19021.41</v>
      </c>
      <c r="N7" s="21">
        <v>70.5</v>
      </c>
      <c r="O7" s="5">
        <f>M18*N7/100</f>
        <v>353132.47664999997</v>
      </c>
      <c r="P7" s="17">
        <f t="shared" si="1"/>
        <v>372153.88664999994</v>
      </c>
      <c r="Q7" s="15">
        <f t="shared" si="2"/>
        <v>-372153.88664999994</v>
      </c>
      <c r="S7" s="2">
        <f>L7/L10*100</f>
        <v>70.514268503877716</v>
      </c>
    </row>
    <row r="8" spans="1:19" hidden="1" x14ac:dyDescent="0.25">
      <c r="A8" s="16"/>
      <c r="B8" s="27" t="s">
        <v>17</v>
      </c>
      <c r="C8" s="28">
        <v>-19176</v>
      </c>
      <c r="D8" s="41">
        <v>0</v>
      </c>
      <c r="E8" s="41">
        <v>0</v>
      </c>
      <c r="F8" s="17">
        <f t="shared" si="0"/>
        <v>-19176</v>
      </c>
      <c r="G8" s="163">
        <v>0</v>
      </c>
      <c r="H8" s="29">
        <v>-19176</v>
      </c>
      <c r="I8" s="16"/>
      <c r="J8" s="16"/>
      <c r="K8" s="170" t="s">
        <v>9</v>
      </c>
      <c r="L8" s="146">
        <v>33</v>
      </c>
      <c r="M8" s="5">
        <f>M17*0.03</f>
        <v>19021.41</v>
      </c>
      <c r="N8" s="21">
        <v>0.3</v>
      </c>
      <c r="O8" s="5">
        <f>M18*N8/100</f>
        <v>1502.69139</v>
      </c>
      <c r="P8" s="17">
        <f t="shared" si="1"/>
        <v>20524.10139</v>
      </c>
      <c r="Q8" s="15">
        <f t="shared" si="2"/>
        <v>-20524.10139</v>
      </c>
      <c r="S8" s="2">
        <f>L8/L10*100</f>
        <v>0.24847526541676079</v>
      </c>
    </row>
    <row r="9" spans="1:19" hidden="1" x14ac:dyDescent="0.25">
      <c r="A9" s="16"/>
      <c r="B9" s="3" t="s">
        <v>8</v>
      </c>
      <c r="C9" s="5">
        <v>-216800.664341</v>
      </c>
      <c r="D9" s="4">
        <v>31250</v>
      </c>
      <c r="E9" s="4">
        <v>-11250</v>
      </c>
      <c r="F9" s="17">
        <f t="shared" si="0"/>
        <v>-196800.664341</v>
      </c>
      <c r="G9" s="24">
        <f>Q4</f>
        <v>-79129.065600000002</v>
      </c>
      <c r="H9" s="17">
        <v>-275929.729941</v>
      </c>
      <c r="I9" s="16"/>
      <c r="J9" s="16"/>
      <c r="K9" s="170" t="s">
        <v>166</v>
      </c>
      <c r="L9" s="147" t="s">
        <v>324</v>
      </c>
      <c r="M9" s="5">
        <f>M17*0.03</f>
        <v>19021.41</v>
      </c>
      <c r="N9" s="21"/>
      <c r="O9" s="5">
        <f>M18*N9/100</f>
        <v>0</v>
      </c>
      <c r="P9" s="17">
        <f t="shared" si="1"/>
        <v>19021.41</v>
      </c>
      <c r="Q9" s="15">
        <f t="shared" si="2"/>
        <v>-19021.41</v>
      </c>
    </row>
    <row r="10" spans="1:19" hidden="1" x14ac:dyDescent="0.25">
      <c r="A10" s="16"/>
      <c r="B10" s="3" t="s">
        <v>9</v>
      </c>
      <c r="C10" s="5">
        <v>-108788.96507959999</v>
      </c>
      <c r="D10" s="4">
        <v>0</v>
      </c>
      <c r="E10" s="4">
        <v>-11250</v>
      </c>
      <c r="F10" s="17">
        <f t="shared" si="0"/>
        <v>-120038.96507959999</v>
      </c>
      <c r="G10" s="24">
        <f>Q8</f>
        <v>-20524.10139</v>
      </c>
      <c r="H10" s="17">
        <v>-140563.06646959999</v>
      </c>
      <c r="I10" s="16"/>
      <c r="J10" s="16"/>
      <c r="K10" s="20"/>
      <c r="L10" s="148">
        <f>SUM(L3:L9)</f>
        <v>13281</v>
      </c>
      <c r="M10" s="50">
        <f>SUM(M3:M9)</f>
        <v>133149.87</v>
      </c>
      <c r="N10" s="21">
        <f>SUM(N3:N8)</f>
        <v>100</v>
      </c>
      <c r="O10" s="5">
        <f>SUM(O3:O8)</f>
        <v>500897.12999999995</v>
      </c>
      <c r="P10" s="5">
        <f>SUM(P3:P9)</f>
        <v>634046.99999999988</v>
      </c>
      <c r="S10" s="2">
        <f>SUM(S3:S9)</f>
        <v>99.999999999999986</v>
      </c>
    </row>
    <row r="11" spans="1:19" ht="16.5" hidden="1" thickBot="1" x14ac:dyDescent="0.3">
      <c r="A11" s="16"/>
      <c r="B11" s="3" t="s">
        <v>28</v>
      </c>
      <c r="C11" s="5">
        <v>-4825.9092999999975</v>
      </c>
      <c r="D11" s="4">
        <v>0</v>
      </c>
      <c r="E11" s="4">
        <v>-15000</v>
      </c>
      <c r="F11" s="17">
        <f t="shared" si="0"/>
        <v>-19825.909299999999</v>
      </c>
      <c r="G11" s="24">
        <f>Q9</f>
        <v>-19021.41</v>
      </c>
      <c r="H11" s="17">
        <v>-38847.319300000003</v>
      </c>
      <c r="I11" s="16"/>
      <c r="J11" s="16"/>
      <c r="K11" s="47"/>
      <c r="L11" s="48"/>
      <c r="M11" s="48"/>
      <c r="N11" s="48"/>
      <c r="O11" s="48"/>
      <c r="P11" s="49"/>
    </row>
    <row r="12" spans="1:19" hidden="1" x14ac:dyDescent="0.25">
      <c r="A12" s="16"/>
      <c r="B12" s="3" t="s">
        <v>168</v>
      </c>
      <c r="C12" s="5">
        <f>-310987+78936</f>
        <v>-232051</v>
      </c>
      <c r="D12" s="4">
        <v>202795</v>
      </c>
      <c r="E12" s="4">
        <v>0</v>
      </c>
      <c r="F12" s="17">
        <f t="shared" si="0"/>
        <v>-29256</v>
      </c>
      <c r="G12" s="163">
        <v>0</v>
      </c>
      <c r="H12" s="17">
        <v>-29256</v>
      </c>
      <c r="I12" s="16"/>
      <c r="J12" s="16"/>
    </row>
    <row r="13" spans="1:19" ht="17.25" hidden="1" customHeight="1" x14ac:dyDescent="0.25">
      <c r="B13" s="3"/>
      <c r="C13" s="6">
        <f>SUM(C2:C12)</f>
        <v>-4302831</v>
      </c>
      <c r="D13" s="18">
        <f>SUM(D2:D12)</f>
        <v>1045398</v>
      </c>
      <c r="E13" s="18">
        <f>SUM(E2:E12)</f>
        <v>-259688</v>
      </c>
      <c r="F13" s="9"/>
      <c r="G13" s="24">
        <f>SUM(G2:G12)</f>
        <v>-634046.99999999988</v>
      </c>
      <c r="H13" s="17"/>
      <c r="K13" s="16"/>
      <c r="L13" s="16"/>
      <c r="M13" s="16"/>
      <c r="N13" s="16"/>
      <c r="O13" s="16"/>
    </row>
    <row r="14" spans="1:19" hidden="1" x14ac:dyDescent="0.25">
      <c r="C14" s="6"/>
      <c r="E14" s="15"/>
      <c r="F14" s="15"/>
      <c r="H14" s="15"/>
      <c r="K14" s="3" t="s">
        <v>23</v>
      </c>
      <c r="L14" s="3"/>
      <c r="M14" s="50">
        <f>'Presentasjon 2019'!D55</f>
        <v>-151663</v>
      </c>
    </row>
    <row r="15" spans="1:19" hidden="1" x14ac:dyDescent="0.25">
      <c r="C15" s="35"/>
      <c r="D15" s="1"/>
      <c r="E15" s="19"/>
      <c r="G15" s="15"/>
      <c r="J15" s="15"/>
      <c r="K15" s="3" t="s">
        <v>21</v>
      </c>
      <c r="L15" s="3"/>
      <c r="M15" s="5">
        <f>D13</f>
        <v>1045398</v>
      </c>
    </row>
    <row r="16" spans="1:19" hidden="1" x14ac:dyDescent="0.25">
      <c r="E16" s="15"/>
      <c r="G16" s="15"/>
      <c r="K16" s="5" t="s">
        <v>24</v>
      </c>
      <c r="L16" s="3"/>
      <c r="M16" s="5">
        <f>E13</f>
        <v>-259688</v>
      </c>
      <c r="R16" s="15">
        <f>M17-P10</f>
        <v>0</v>
      </c>
    </row>
    <row r="17" spans="1:17" hidden="1" x14ac:dyDescent="0.25">
      <c r="C17" s="15"/>
      <c r="E17" s="164"/>
      <c r="F17" s="165"/>
      <c r="H17" s="15"/>
      <c r="K17" s="3" t="s">
        <v>167</v>
      </c>
      <c r="L17" s="3"/>
      <c r="M17" s="5">
        <f>SUM(M14:M16)</f>
        <v>634047</v>
      </c>
    </row>
    <row r="18" spans="1:17" hidden="1" x14ac:dyDescent="0.25">
      <c r="B18" s="15"/>
      <c r="C18" s="15"/>
      <c r="E18" s="164"/>
      <c r="F18" s="165"/>
      <c r="K18" s="25" t="s">
        <v>22</v>
      </c>
      <c r="L18" s="25"/>
      <c r="M18" s="26">
        <f>M17-M10</f>
        <v>500897.13</v>
      </c>
    </row>
    <row r="19" spans="1:17" hidden="1" x14ac:dyDescent="0.25">
      <c r="C19" s="15"/>
      <c r="E19" s="165"/>
      <c r="F19" s="166"/>
    </row>
    <row r="20" spans="1:17" hidden="1" x14ac:dyDescent="0.25">
      <c r="E20" s="165"/>
      <c r="F20" s="165"/>
    </row>
    <row r="21" spans="1:17" hidden="1" x14ac:dyDescent="0.25"/>
    <row r="22" spans="1:17" ht="16.5" thickBot="1" x14ac:dyDescent="0.3"/>
    <row r="23" spans="1:17" ht="63" x14ac:dyDescent="0.25">
      <c r="A23" s="16"/>
      <c r="B23" s="3"/>
      <c r="C23" s="7">
        <v>43466</v>
      </c>
      <c r="D23" s="8" t="s">
        <v>204</v>
      </c>
      <c r="E23" s="8" t="s">
        <v>200</v>
      </c>
      <c r="F23" s="14" t="s">
        <v>328</v>
      </c>
      <c r="G23" s="219" t="s">
        <v>201</v>
      </c>
      <c r="H23" s="206" t="s">
        <v>203</v>
      </c>
      <c r="K23" s="235" t="s">
        <v>320</v>
      </c>
      <c r="L23" s="236"/>
      <c r="M23" s="236"/>
      <c r="N23" s="236"/>
      <c r="O23" s="236"/>
      <c r="P23" s="237"/>
    </row>
    <row r="24" spans="1:17" x14ac:dyDescent="0.25">
      <c r="B24" s="3" t="s">
        <v>2</v>
      </c>
      <c r="C24" s="204">
        <v>1535103</v>
      </c>
      <c r="D24" s="202">
        <v>0</v>
      </c>
      <c r="E24" s="202">
        <v>-50000</v>
      </c>
      <c r="F24" s="204">
        <v>1485103</v>
      </c>
      <c r="G24" s="220">
        <v>0</v>
      </c>
      <c r="H24" s="207">
        <v>1485103</v>
      </c>
      <c r="K24" s="222"/>
      <c r="L24" s="214" t="s">
        <v>331</v>
      </c>
      <c r="M24" s="214" t="s">
        <v>20</v>
      </c>
      <c r="N24" s="214" t="s">
        <v>18</v>
      </c>
      <c r="O24" s="214" t="s">
        <v>205</v>
      </c>
      <c r="P24" s="223" t="s">
        <v>12</v>
      </c>
    </row>
    <row r="25" spans="1:17" x14ac:dyDescent="0.25">
      <c r="B25" s="3" t="s">
        <v>0</v>
      </c>
      <c r="C25" s="204">
        <v>441008</v>
      </c>
      <c r="D25" s="202">
        <v>0</v>
      </c>
      <c r="E25" s="203">
        <v>50000</v>
      </c>
      <c r="F25" s="204">
        <v>491008</v>
      </c>
      <c r="G25" s="220">
        <v>0</v>
      </c>
      <c r="H25" s="207">
        <v>491008</v>
      </c>
      <c r="K25" s="224" t="s">
        <v>7</v>
      </c>
      <c r="L25" s="215">
        <v>1999</v>
      </c>
      <c r="M25" s="233">
        <v>19021.41</v>
      </c>
      <c r="N25" s="215">
        <v>15</v>
      </c>
      <c r="O25" s="216">
        <v>75134.569499999998</v>
      </c>
      <c r="P25" s="225">
        <v>94155</v>
      </c>
    </row>
    <row r="26" spans="1:17" ht="15.75" customHeight="1" x14ac:dyDescent="0.25">
      <c r="B26" s="3" t="s">
        <v>3</v>
      </c>
      <c r="C26" s="204">
        <v>201905</v>
      </c>
      <c r="D26" s="202">
        <v>105631</v>
      </c>
      <c r="E26" s="203">
        <v>22500</v>
      </c>
      <c r="F26" s="204">
        <v>118774</v>
      </c>
      <c r="G26" s="205">
        <v>94156</v>
      </c>
      <c r="H26" s="207">
        <v>212930</v>
      </c>
      <c r="K26" s="226" t="s">
        <v>8</v>
      </c>
      <c r="L26" s="215">
        <v>1599</v>
      </c>
      <c r="M26" s="233">
        <v>19021.41</v>
      </c>
      <c r="N26" s="215">
        <v>12</v>
      </c>
      <c r="O26" s="218">
        <v>60107.655600000006</v>
      </c>
      <c r="P26" s="227">
        <v>79129.065600000002</v>
      </c>
    </row>
    <row r="27" spans="1:17" x14ac:dyDescent="0.25">
      <c r="B27" s="3" t="s">
        <v>4</v>
      </c>
      <c r="C27" s="204">
        <v>151232</v>
      </c>
      <c r="D27" s="202">
        <v>48270</v>
      </c>
      <c r="E27" s="203">
        <v>22500</v>
      </c>
      <c r="F27" s="204">
        <v>125462</v>
      </c>
      <c r="G27" s="205">
        <v>49062</v>
      </c>
      <c r="H27" s="207">
        <v>174525</v>
      </c>
      <c r="K27" s="224" t="s">
        <v>10</v>
      </c>
      <c r="L27" s="215">
        <v>173</v>
      </c>
      <c r="M27" s="233">
        <v>19021.41</v>
      </c>
      <c r="N27" s="215">
        <v>1.3</v>
      </c>
      <c r="O27" s="218">
        <v>6511.6626900000001</v>
      </c>
      <c r="P27" s="227">
        <v>25533.072690000001</v>
      </c>
    </row>
    <row r="28" spans="1:17" x14ac:dyDescent="0.25">
      <c r="B28" s="3" t="s">
        <v>5</v>
      </c>
      <c r="C28" s="204">
        <v>1033658</v>
      </c>
      <c r="D28" s="202">
        <v>657452</v>
      </c>
      <c r="E28" s="203">
        <v>177188</v>
      </c>
      <c r="F28" s="204">
        <v>553394</v>
      </c>
      <c r="G28" s="205">
        <v>372153</v>
      </c>
      <c r="H28" s="207">
        <v>925548</v>
      </c>
      <c r="K28" s="226" t="s">
        <v>11</v>
      </c>
      <c r="L28" s="217">
        <v>112</v>
      </c>
      <c r="M28" s="212">
        <v>19021.41</v>
      </c>
      <c r="N28" s="217">
        <v>0.9</v>
      </c>
      <c r="O28" s="213">
        <v>4508.0741699999999</v>
      </c>
      <c r="P28" s="228">
        <v>23529.48417</v>
      </c>
      <c r="Q28" s="149"/>
    </row>
    <row r="29" spans="1:17" x14ac:dyDescent="0.25">
      <c r="B29" s="3" t="s">
        <v>165</v>
      </c>
      <c r="C29" s="204">
        <v>358281</v>
      </c>
      <c r="D29" s="202">
        <v>0</v>
      </c>
      <c r="E29" s="221">
        <v>0</v>
      </c>
      <c r="F29" s="204">
        <v>358281</v>
      </c>
      <c r="G29" s="220">
        <v>0</v>
      </c>
      <c r="H29" s="207">
        <v>358281</v>
      </c>
      <c r="K29" s="226" t="s">
        <v>5</v>
      </c>
      <c r="L29" s="217">
        <v>9365</v>
      </c>
      <c r="M29" s="212">
        <v>19021.41</v>
      </c>
      <c r="N29" s="217">
        <v>70.5</v>
      </c>
      <c r="O29" s="213">
        <v>353132.47664999997</v>
      </c>
      <c r="P29" s="228">
        <v>372154</v>
      </c>
    </row>
    <row r="30" spans="1:17" x14ac:dyDescent="0.25">
      <c r="B30" s="27" t="s">
        <v>17</v>
      </c>
      <c r="C30" s="204">
        <v>19176</v>
      </c>
      <c r="D30" s="202">
        <v>0</v>
      </c>
      <c r="E30" s="221">
        <v>0</v>
      </c>
      <c r="F30" s="204">
        <v>19176</v>
      </c>
      <c r="G30" s="220">
        <v>0</v>
      </c>
      <c r="H30" s="207">
        <v>19176</v>
      </c>
      <c r="K30" s="226" t="s">
        <v>9</v>
      </c>
      <c r="L30" s="217">
        <v>33</v>
      </c>
      <c r="M30" s="212">
        <v>19021.41</v>
      </c>
      <c r="N30" s="217">
        <v>0.3</v>
      </c>
      <c r="O30" s="213">
        <v>1502.69139</v>
      </c>
      <c r="P30" s="228">
        <v>20524.10139</v>
      </c>
    </row>
    <row r="31" spans="1:17" ht="16.5" thickBot="1" x14ac:dyDescent="0.3">
      <c r="B31" s="3" t="s">
        <v>8</v>
      </c>
      <c r="C31" s="204">
        <v>216800</v>
      </c>
      <c r="D31" s="202">
        <v>31250</v>
      </c>
      <c r="E31" s="203">
        <v>11250</v>
      </c>
      <c r="F31" s="204">
        <v>196800</v>
      </c>
      <c r="G31" s="205">
        <v>79129</v>
      </c>
      <c r="H31" s="207">
        <v>275929</v>
      </c>
      <c r="K31" s="229" t="s">
        <v>166</v>
      </c>
      <c r="L31" s="230" t="s">
        <v>324</v>
      </c>
      <c r="M31" s="234">
        <v>19021.41</v>
      </c>
      <c r="N31" s="230"/>
      <c r="O31" s="231"/>
      <c r="P31" s="232">
        <v>19021.41</v>
      </c>
    </row>
    <row r="32" spans="1:17" x14ac:dyDescent="0.25">
      <c r="B32" s="3" t="s">
        <v>9</v>
      </c>
      <c r="C32" s="204">
        <v>108788</v>
      </c>
      <c r="D32" s="202">
        <v>0</v>
      </c>
      <c r="E32" s="203">
        <v>11250</v>
      </c>
      <c r="F32" s="204">
        <v>120038</v>
      </c>
      <c r="G32" s="205">
        <v>20524</v>
      </c>
      <c r="H32" s="207">
        <v>140563</v>
      </c>
      <c r="K32" s="141"/>
      <c r="L32" s="142"/>
      <c r="M32" s="209"/>
      <c r="N32" s="209"/>
      <c r="O32" s="210"/>
      <c r="P32" s="211"/>
    </row>
    <row r="33" spans="2:16" x14ac:dyDescent="0.25">
      <c r="B33" s="3" t="s">
        <v>28</v>
      </c>
      <c r="C33" s="204">
        <v>4825</v>
      </c>
      <c r="D33" s="202">
        <v>0</v>
      </c>
      <c r="E33" s="203">
        <v>15000</v>
      </c>
      <c r="F33" s="204">
        <v>19825</v>
      </c>
      <c r="G33" s="205">
        <v>19021</v>
      </c>
      <c r="H33" s="207">
        <v>38847</v>
      </c>
      <c r="K33" s="141"/>
      <c r="L33" s="142"/>
      <c r="M33" s="45"/>
      <c r="N33" s="45"/>
      <c r="O33" s="138"/>
      <c r="P33" s="143"/>
    </row>
    <row r="34" spans="2:16" x14ac:dyDescent="0.25">
      <c r="B34" s="3" t="s">
        <v>168</v>
      </c>
      <c r="C34" s="204">
        <v>232051</v>
      </c>
      <c r="D34" s="202">
        <v>202795</v>
      </c>
      <c r="E34" s="203">
        <v>0</v>
      </c>
      <c r="F34" s="204">
        <v>29256</v>
      </c>
      <c r="G34" s="220">
        <v>0</v>
      </c>
      <c r="H34" s="207">
        <v>29256</v>
      </c>
      <c r="K34" s="144"/>
      <c r="L34" s="145"/>
      <c r="M34" s="45"/>
      <c r="N34" s="45"/>
      <c r="O34" s="138"/>
      <c r="P34" s="143"/>
    </row>
    <row r="35" spans="2:16" ht="10.9" customHeight="1" x14ac:dyDescent="0.25">
      <c r="K35" s="139"/>
      <c r="L35" s="139"/>
      <c r="M35" s="139"/>
      <c r="N35" s="135"/>
      <c r="O35" s="137"/>
      <c r="P35" s="140"/>
    </row>
    <row r="36" spans="2:16" ht="235.9" customHeight="1" x14ac:dyDescent="0.25">
      <c r="B36" s="208" t="s">
        <v>325</v>
      </c>
      <c r="C36" s="208" t="s">
        <v>329</v>
      </c>
      <c r="D36" s="208" t="s">
        <v>330</v>
      </c>
      <c r="E36" s="208" t="s">
        <v>322</v>
      </c>
      <c r="F36" s="208" t="s">
        <v>323</v>
      </c>
      <c r="G36" s="208" t="s">
        <v>326</v>
      </c>
      <c r="H36" s="208" t="s">
        <v>327</v>
      </c>
    </row>
  </sheetData>
  <mergeCells count="1">
    <mergeCell ref="K23:P2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086C-92EC-4458-A9F2-A04C71A51190}">
  <dimension ref="A1:H143"/>
  <sheetViews>
    <sheetView topLeftCell="A94" workbookViewId="0">
      <selection activeCell="F122" sqref="F122"/>
    </sheetView>
  </sheetViews>
  <sheetFormatPr baseColWidth="10" defaultRowHeight="15" x14ac:dyDescent="0.25"/>
  <cols>
    <col min="1" max="1" width="28.5703125" customWidth="1"/>
    <col min="2" max="2" width="14" customWidth="1"/>
    <col min="3" max="3" width="14.5703125" hidden="1" customWidth="1"/>
    <col min="4" max="4" width="14.85546875" customWidth="1"/>
    <col min="5" max="5" width="21" hidden="1" customWidth="1"/>
    <col min="6" max="6" width="17.7109375" customWidth="1"/>
    <col min="7" max="8" width="0" hidden="1" customWidth="1"/>
  </cols>
  <sheetData>
    <row r="1" spans="1:8" x14ac:dyDescent="0.25">
      <c r="A1" s="129" t="s">
        <v>181</v>
      </c>
      <c r="B1" s="128"/>
      <c r="C1" s="128"/>
      <c r="D1" s="128"/>
      <c r="E1" s="128"/>
      <c r="F1" s="128"/>
      <c r="G1" s="128"/>
      <c r="H1" s="128"/>
    </row>
    <row r="3" spans="1:8" x14ac:dyDescent="0.25">
      <c r="A3" s="128"/>
      <c r="B3" s="134" t="s">
        <v>182</v>
      </c>
      <c r="C3" s="134" t="s">
        <v>183</v>
      </c>
      <c r="D3" s="134" t="s">
        <v>184</v>
      </c>
      <c r="E3" s="134" t="s">
        <v>185</v>
      </c>
      <c r="F3" s="134" t="s">
        <v>186</v>
      </c>
      <c r="G3" s="134" t="s">
        <v>187</v>
      </c>
      <c r="H3" s="134" t="s">
        <v>188</v>
      </c>
    </row>
    <row r="4" spans="1:8" x14ac:dyDescent="0.25">
      <c r="A4" s="129" t="s">
        <v>148</v>
      </c>
      <c r="B4" s="131"/>
      <c r="C4" s="131"/>
      <c r="D4" s="131"/>
      <c r="E4" s="131"/>
      <c r="F4" s="131"/>
      <c r="G4" s="131"/>
      <c r="H4" s="131"/>
    </row>
    <row r="5" spans="1:8" x14ac:dyDescent="0.25">
      <c r="A5" s="130" t="s">
        <v>57</v>
      </c>
      <c r="B5" s="131">
        <v>-105136</v>
      </c>
      <c r="C5" s="131">
        <v>0</v>
      </c>
      <c r="D5" s="131">
        <v>666883</v>
      </c>
      <c r="E5" s="131">
        <v>0</v>
      </c>
      <c r="F5" s="131">
        <v>561748</v>
      </c>
      <c r="G5" s="131">
        <v>0</v>
      </c>
      <c r="H5" s="131">
        <v>-561748</v>
      </c>
    </row>
    <row r="6" spans="1:8" x14ac:dyDescent="0.25">
      <c r="A6" s="130" t="s">
        <v>189</v>
      </c>
      <c r="B6" s="131">
        <v>0</v>
      </c>
      <c r="C6" s="131">
        <v>0</v>
      </c>
      <c r="D6" s="131">
        <v>0</v>
      </c>
      <c r="E6" s="131">
        <v>550000</v>
      </c>
      <c r="F6" s="131">
        <v>0</v>
      </c>
      <c r="G6" s="131">
        <v>550000</v>
      </c>
      <c r="H6" s="131">
        <v>550000</v>
      </c>
    </row>
    <row r="7" spans="1:8" x14ac:dyDescent="0.25">
      <c r="A7" s="132" t="s">
        <v>29</v>
      </c>
      <c r="B7" s="133">
        <v>-105136</v>
      </c>
      <c r="C7" s="133">
        <v>0</v>
      </c>
      <c r="D7" s="133">
        <v>666883</v>
      </c>
      <c r="E7" s="133">
        <v>550000</v>
      </c>
      <c r="F7" s="133">
        <v>561748</v>
      </c>
      <c r="G7" s="133">
        <v>550000</v>
      </c>
      <c r="H7" s="133">
        <v>-11748</v>
      </c>
    </row>
    <row r="8" spans="1:8" x14ac:dyDescent="0.25">
      <c r="A8" s="129" t="s">
        <v>149</v>
      </c>
      <c r="B8" s="131"/>
      <c r="C8" s="131"/>
      <c r="D8" s="131"/>
      <c r="E8" s="131"/>
      <c r="F8" s="131"/>
      <c r="G8" s="131"/>
      <c r="H8" s="131"/>
    </row>
    <row r="9" spans="1:8" x14ac:dyDescent="0.25">
      <c r="A9" s="130" t="s">
        <v>31</v>
      </c>
      <c r="B9" s="131">
        <v>-11020</v>
      </c>
      <c r="C9" s="131">
        <v>0</v>
      </c>
      <c r="D9" s="131">
        <v>112044</v>
      </c>
      <c r="E9" s="131">
        <v>0</v>
      </c>
      <c r="F9" s="131">
        <v>101023</v>
      </c>
      <c r="G9" s="131">
        <v>0</v>
      </c>
      <c r="H9" s="131">
        <v>-101023</v>
      </c>
    </row>
    <row r="10" spans="1:8" x14ac:dyDescent="0.25">
      <c r="A10" s="130" t="s">
        <v>32</v>
      </c>
      <c r="B10" s="131">
        <v>0</v>
      </c>
      <c r="C10" s="131">
        <v>0</v>
      </c>
      <c r="D10" s="131">
        <v>37999</v>
      </c>
      <c r="E10" s="131">
        <v>0</v>
      </c>
      <c r="F10" s="131">
        <v>37999</v>
      </c>
      <c r="G10" s="131">
        <v>0</v>
      </c>
      <c r="H10" s="131">
        <v>-37999</v>
      </c>
    </row>
    <row r="11" spans="1:8" x14ac:dyDescent="0.25">
      <c r="A11" s="130" t="s">
        <v>39</v>
      </c>
      <c r="B11" s="131">
        <v>-40148</v>
      </c>
      <c r="C11" s="131">
        <v>0</v>
      </c>
      <c r="D11" s="131">
        <v>0</v>
      </c>
      <c r="E11" s="131">
        <v>0</v>
      </c>
      <c r="F11" s="131">
        <v>-40148</v>
      </c>
      <c r="G11" s="131">
        <v>0</v>
      </c>
      <c r="H11" s="131">
        <v>40148</v>
      </c>
    </row>
    <row r="12" spans="1:8" x14ac:dyDescent="0.25">
      <c r="A12" s="130" t="s">
        <v>133</v>
      </c>
      <c r="B12" s="131">
        <v>-81571</v>
      </c>
      <c r="C12" s="131">
        <v>0</v>
      </c>
      <c r="D12" s="131">
        <v>88854</v>
      </c>
      <c r="E12" s="131">
        <v>0</v>
      </c>
      <c r="F12" s="131">
        <v>7283</v>
      </c>
      <c r="G12" s="131">
        <v>0</v>
      </c>
      <c r="H12" s="131">
        <v>-7283</v>
      </c>
    </row>
    <row r="13" spans="1:8" x14ac:dyDescent="0.25">
      <c r="A13" s="130" t="s">
        <v>57</v>
      </c>
      <c r="B13" s="131">
        <v>0</v>
      </c>
      <c r="C13" s="131">
        <v>0</v>
      </c>
      <c r="D13" s="131">
        <v>423</v>
      </c>
      <c r="E13" s="131">
        <v>0</v>
      </c>
      <c r="F13" s="131">
        <v>423</v>
      </c>
      <c r="G13" s="131">
        <v>0</v>
      </c>
      <c r="H13" s="131">
        <v>-423</v>
      </c>
    </row>
    <row r="14" spans="1:8" x14ac:dyDescent="0.25">
      <c r="A14" s="130" t="s">
        <v>58</v>
      </c>
      <c r="B14" s="131">
        <v>0</v>
      </c>
      <c r="C14" s="131">
        <v>0</v>
      </c>
      <c r="D14" s="131">
        <v>43761</v>
      </c>
      <c r="E14" s="131">
        <v>0</v>
      </c>
      <c r="F14" s="131">
        <v>43761</v>
      </c>
      <c r="G14" s="131">
        <v>0</v>
      </c>
      <c r="H14" s="131">
        <v>-43761</v>
      </c>
    </row>
    <row r="15" spans="1:8" x14ac:dyDescent="0.25">
      <c r="A15" s="130" t="s">
        <v>59</v>
      </c>
      <c r="B15" s="131">
        <v>0</v>
      </c>
      <c r="C15" s="131">
        <v>0</v>
      </c>
      <c r="D15" s="131">
        <v>166137</v>
      </c>
      <c r="E15" s="131">
        <v>0</v>
      </c>
      <c r="F15" s="131">
        <v>166137</v>
      </c>
      <c r="G15" s="131">
        <v>0</v>
      </c>
      <c r="H15" s="131">
        <v>-166137</v>
      </c>
    </row>
    <row r="16" spans="1:8" x14ac:dyDescent="0.25">
      <c r="A16" s="130" t="s">
        <v>189</v>
      </c>
      <c r="B16" s="131">
        <v>0</v>
      </c>
      <c r="C16" s="131">
        <v>0</v>
      </c>
      <c r="D16" s="131">
        <v>0</v>
      </c>
      <c r="E16" s="131">
        <v>356000</v>
      </c>
      <c r="F16" s="131">
        <v>0</v>
      </c>
      <c r="G16" s="131">
        <v>356000</v>
      </c>
      <c r="H16" s="131">
        <v>356000</v>
      </c>
    </row>
    <row r="17" spans="1:8" x14ac:dyDescent="0.25">
      <c r="A17" s="132" t="s">
        <v>29</v>
      </c>
      <c r="B17" s="133">
        <v>-132739</v>
      </c>
      <c r="C17" s="133">
        <v>0</v>
      </c>
      <c r="D17" s="133">
        <v>449218</v>
      </c>
      <c r="E17" s="133">
        <v>356000</v>
      </c>
      <c r="F17" s="133">
        <v>316479</v>
      </c>
      <c r="G17" s="133">
        <v>356000</v>
      </c>
      <c r="H17" s="133">
        <v>39521</v>
      </c>
    </row>
    <row r="18" spans="1:8" x14ac:dyDescent="0.25">
      <c r="A18" s="129" t="s">
        <v>150</v>
      </c>
      <c r="B18" s="131"/>
      <c r="C18" s="131"/>
      <c r="D18" s="131"/>
      <c r="E18" s="131"/>
      <c r="F18" s="131"/>
      <c r="G18" s="131"/>
      <c r="H18" s="131"/>
    </row>
    <row r="19" spans="1:8" x14ac:dyDescent="0.25">
      <c r="A19" s="130" t="s">
        <v>34</v>
      </c>
      <c r="B19" s="131">
        <v>-296674</v>
      </c>
      <c r="C19" s="131">
        <v>0</v>
      </c>
      <c r="D19" s="131">
        <v>0</v>
      </c>
      <c r="E19" s="131">
        <v>0</v>
      </c>
      <c r="F19" s="131">
        <v>-296674</v>
      </c>
      <c r="G19" s="131">
        <v>0</v>
      </c>
      <c r="H19" s="131">
        <v>296674</v>
      </c>
    </row>
    <row r="20" spans="1:8" x14ac:dyDescent="0.25">
      <c r="A20" s="130" t="s">
        <v>190</v>
      </c>
      <c r="B20" s="131">
        <v>0</v>
      </c>
      <c r="C20" s="131">
        <v>-280000</v>
      </c>
      <c r="D20" s="131">
        <v>0</v>
      </c>
      <c r="E20" s="131">
        <v>0</v>
      </c>
      <c r="F20" s="131">
        <v>0</v>
      </c>
      <c r="G20" s="131">
        <v>-280000</v>
      </c>
      <c r="H20" s="131">
        <v>-280000</v>
      </c>
    </row>
    <row r="21" spans="1:8" x14ac:dyDescent="0.25">
      <c r="A21" s="132" t="s">
        <v>29</v>
      </c>
      <c r="B21" s="133">
        <v>-296674</v>
      </c>
      <c r="C21" s="133">
        <v>-280000</v>
      </c>
      <c r="D21" s="133">
        <v>0</v>
      </c>
      <c r="E21" s="133">
        <v>0</v>
      </c>
      <c r="F21" s="133">
        <v>-296674</v>
      </c>
      <c r="G21" s="133">
        <v>-280000</v>
      </c>
      <c r="H21" s="131">
        <v>16674</v>
      </c>
    </row>
    <row r="22" spans="1:8" x14ac:dyDescent="0.25">
      <c r="A22" s="129" t="s">
        <v>151</v>
      </c>
      <c r="B22" s="131"/>
      <c r="C22" s="131"/>
      <c r="D22" s="131"/>
      <c r="E22" s="131"/>
      <c r="F22" s="131"/>
      <c r="G22" s="131"/>
      <c r="H22" s="131"/>
    </row>
    <row r="23" spans="1:8" x14ac:dyDescent="0.25">
      <c r="A23" s="130" t="s">
        <v>71</v>
      </c>
      <c r="B23" s="131">
        <v>-50506</v>
      </c>
      <c r="C23" s="131">
        <v>0</v>
      </c>
      <c r="D23" s="131">
        <v>19639</v>
      </c>
      <c r="E23" s="131">
        <v>0</v>
      </c>
      <c r="F23" s="131">
        <v>-30867</v>
      </c>
      <c r="G23" s="131">
        <v>0</v>
      </c>
      <c r="H23" s="131">
        <v>30867</v>
      </c>
    </row>
    <row r="24" spans="1:8" x14ac:dyDescent="0.25">
      <c r="A24" s="130" t="s">
        <v>35</v>
      </c>
      <c r="B24" s="131">
        <v>-82518</v>
      </c>
      <c r="C24" s="131">
        <v>0</v>
      </c>
      <c r="D24" s="131">
        <v>3500</v>
      </c>
      <c r="E24" s="131">
        <v>0</v>
      </c>
      <c r="F24" s="131">
        <v>-79018</v>
      </c>
      <c r="G24" s="131">
        <v>0</v>
      </c>
      <c r="H24" s="131">
        <v>79018</v>
      </c>
    </row>
    <row r="25" spans="1:8" x14ac:dyDescent="0.25">
      <c r="A25" s="130" t="s">
        <v>36</v>
      </c>
      <c r="B25" s="131">
        <v>-136320</v>
      </c>
      <c r="C25" s="131">
        <v>0</v>
      </c>
      <c r="D25" s="131">
        <v>0</v>
      </c>
      <c r="E25" s="131">
        <v>0</v>
      </c>
      <c r="F25" s="131">
        <v>-136320</v>
      </c>
      <c r="G25" s="131">
        <v>0</v>
      </c>
      <c r="H25" s="131">
        <v>136320</v>
      </c>
    </row>
    <row r="26" spans="1:8" x14ac:dyDescent="0.25">
      <c r="A26" s="130" t="s">
        <v>37</v>
      </c>
      <c r="B26" s="131">
        <v>-600000</v>
      </c>
      <c r="C26" s="131">
        <v>0</v>
      </c>
      <c r="D26" s="131">
        <v>600001</v>
      </c>
      <c r="E26" s="131">
        <v>0</v>
      </c>
      <c r="F26" s="131">
        <v>1</v>
      </c>
      <c r="G26" s="131">
        <v>0</v>
      </c>
      <c r="H26" s="131">
        <v>-1</v>
      </c>
    </row>
    <row r="27" spans="1:8" x14ac:dyDescent="0.25">
      <c r="A27" s="130" t="s">
        <v>38</v>
      </c>
      <c r="B27" s="131">
        <v>-422520</v>
      </c>
      <c r="C27" s="131">
        <v>0</v>
      </c>
      <c r="D27" s="131">
        <v>0</v>
      </c>
      <c r="E27" s="131">
        <v>0</v>
      </c>
      <c r="F27" s="131">
        <v>-422520</v>
      </c>
      <c r="G27" s="131">
        <v>0</v>
      </c>
      <c r="H27" s="131">
        <v>422520</v>
      </c>
    </row>
    <row r="28" spans="1:8" x14ac:dyDescent="0.25">
      <c r="A28" s="130" t="s">
        <v>190</v>
      </c>
      <c r="B28" s="131">
        <v>0</v>
      </c>
      <c r="C28" s="131">
        <v>-1410000</v>
      </c>
      <c r="D28" s="131">
        <v>0</v>
      </c>
      <c r="E28" s="131">
        <v>0</v>
      </c>
      <c r="F28" s="131">
        <v>0</v>
      </c>
      <c r="G28" s="131">
        <v>-1410000</v>
      </c>
      <c r="H28" s="131">
        <v>-1410000</v>
      </c>
    </row>
    <row r="29" spans="1:8" x14ac:dyDescent="0.25">
      <c r="A29" s="130" t="s">
        <v>189</v>
      </c>
      <c r="B29" s="131">
        <v>0</v>
      </c>
      <c r="C29" s="131">
        <v>0</v>
      </c>
      <c r="D29" s="131">
        <v>0</v>
      </c>
      <c r="E29" s="131">
        <v>1050000</v>
      </c>
      <c r="F29" s="131">
        <v>0</v>
      </c>
      <c r="G29" s="131">
        <v>1050000</v>
      </c>
      <c r="H29" s="131">
        <v>1050000</v>
      </c>
    </row>
    <row r="30" spans="1:8" x14ac:dyDescent="0.25">
      <c r="A30" s="132" t="s">
        <v>29</v>
      </c>
      <c r="B30" s="133">
        <v>-1711864</v>
      </c>
      <c r="C30" s="133">
        <v>-1410000</v>
      </c>
      <c r="D30" s="133">
        <v>1043140</v>
      </c>
      <c r="E30" s="133">
        <v>1050000</v>
      </c>
      <c r="F30" s="133">
        <v>-668724</v>
      </c>
      <c r="G30" s="133">
        <v>-360000</v>
      </c>
      <c r="H30" s="133">
        <v>308724</v>
      </c>
    </row>
    <row r="31" spans="1:8" x14ac:dyDescent="0.25">
      <c r="A31" s="129" t="s">
        <v>152</v>
      </c>
      <c r="B31" s="131"/>
      <c r="C31" s="131"/>
      <c r="D31" s="131"/>
      <c r="E31" s="131"/>
      <c r="F31" s="131"/>
      <c r="G31" s="131"/>
      <c r="H31" s="131"/>
    </row>
    <row r="32" spans="1:8" x14ac:dyDescent="0.25">
      <c r="A32" s="130" t="s">
        <v>33</v>
      </c>
      <c r="B32" s="131">
        <v>-15000</v>
      </c>
      <c r="C32" s="131">
        <v>0</v>
      </c>
      <c r="D32" s="131">
        <v>0</v>
      </c>
      <c r="E32" s="131">
        <v>0</v>
      </c>
      <c r="F32" s="131">
        <v>-15000</v>
      </c>
      <c r="G32" s="131">
        <v>0</v>
      </c>
      <c r="H32" s="131">
        <v>15000</v>
      </c>
    </row>
    <row r="33" spans="1:8" x14ac:dyDescent="0.25">
      <c r="A33" s="130" t="s">
        <v>190</v>
      </c>
      <c r="B33" s="131">
        <v>0</v>
      </c>
      <c r="C33" s="131">
        <v>-3000</v>
      </c>
      <c r="D33" s="131">
        <v>0</v>
      </c>
      <c r="E33" s="131">
        <v>0</v>
      </c>
      <c r="F33" s="131">
        <v>0</v>
      </c>
      <c r="G33" s="131">
        <v>-3000</v>
      </c>
      <c r="H33" s="131">
        <v>-3000</v>
      </c>
    </row>
    <row r="34" spans="1:8" x14ac:dyDescent="0.25">
      <c r="A34" s="130" t="s">
        <v>189</v>
      </c>
      <c r="B34" s="131">
        <v>0</v>
      </c>
      <c r="C34" s="131">
        <v>0</v>
      </c>
      <c r="D34" s="131">
        <v>0</v>
      </c>
      <c r="E34" s="131">
        <v>3000</v>
      </c>
      <c r="F34" s="131">
        <v>0</v>
      </c>
      <c r="G34" s="131">
        <v>3000</v>
      </c>
      <c r="H34" s="131">
        <v>3000</v>
      </c>
    </row>
    <row r="35" spans="1:8" x14ac:dyDescent="0.25">
      <c r="A35" s="132" t="s">
        <v>29</v>
      </c>
      <c r="B35" s="133">
        <v>-15000</v>
      </c>
      <c r="C35" s="133">
        <v>-3000</v>
      </c>
      <c r="D35" s="133">
        <v>0</v>
      </c>
      <c r="E35" s="133">
        <v>3000</v>
      </c>
      <c r="F35" s="133">
        <v>-15000</v>
      </c>
      <c r="G35" s="133">
        <v>0</v>
      </c>
      <c r="H35" s="133">
        <v>15000</v>
      </c>
    </row>
    <row r="36" spans="1:8" x14ac:dyDescent="0.25">
      <c r="A36" s="129" t="s">
        <v>153</v>
      </c>
      <c r="B36" s="131"/>
      <c r="C36" s="131"/>
      <c r="D36" s="131"/>
      <c r="E36" s="131"/>
      <c r="F36" s="131"/>
      <c r="G36" s="131"/>
      <c r="H36" s="131"/>
    </row>
    <row r="37" spans="1:8" x14ac:dyDescent="0.25">
      <c r="A37" s="130" t="s">
        <v>42</v>
      </c>
      <c r="B37" s="131">
        <v>-77944</v>
      </c>
      <c r="C37" s="131">
        <v>0</v>
      </c>
      <c r="D37" s="131">
        <v>38809</v>
      </c>
      <c r="E37" s="131">
        <v>0</v>
      </c>
      <c r="F37" s="131">
        <v>-39135</v>
      </c>
      <c r="G37" s="131">
        <v>0</v>
      </c>
      <c r="H37" s="131">
        <v>39135</v>
      </c>
    </row>
    <row r="38" spans="1:8" x14ac:dyDescent="0.25">
      <c r="A38" s="130" t="s">
        <v>72</v>
      </c>
      <c r="B38" s="131">
        <v>-51000</v>
      </c>
      <c r="C38" s="131">
        <v>0</v>
      </c>
      <c r="D38" s="131">
        <v>60376</v>
      </c>
      <c r="E38" s="131">
        <v>0</v>
      </c>
      <c r="F38" s="131">
        <v>9376</v>
      </c>
      <c r="G38" s="131">
        <v>0</v>
      </c>
      <c r="H38" s="131">
        <v>-9376</v>
      </c>
    </row>
    <row r="39" spans="1:8" x14ac:dyDescent="0.25">
      <c r="A39" s="130" t="s">
        <v>48</v>
      </c>
      <c r="B39" s="131">
        <v>-101370</v>
      </c>
      <c r="C39" s="131">
        <v>0</v>
      </c>
      <c r="D39" s="131">
        <v>63145</v>
      </c>
      <c r="E39" s="131">
        <v>0</v>
      </c>
      <c r="F39" s="131">
        <v>-38225</v>
      </c>
      <c r="G39" s="131">
        <v>0</v>
      </c>
      <c r="H39" s="131">
        <v>38225</v>
      </c>
    </row>
    <row r="40" spans="1:8" x14ac:dyDescent="0.25">
      <c r="A40" s="130" t="s">
        <v>49</v>
      </c>
      <c r="B40" s="131">
        <v>-41016</v>
      </c>
      <c r="C40" s="131">
        <v>0</v>
      </c>
      <c r="D40" s="131">
        <v>38993</v>
      </c>
      <c r="E40" s="131">
        <v>0</v>
      </c>
      <c r="F40" s="131">
        <v>-2023</v>
      </c>
      <c r="G40" s="131">
        <v>0</v>
      </c>
      <c r="H40" s="131">
        <v>2023</v>
      </c>
    </row>
    <row r="41" spans="1:8" x14ac:dyDescent="0.25">
      <c r="A41" s="130" t="s">
        <v>190</v>
      </c>
      <c r="B41" s="131">
        <v>0</v>
      </c>
      <c r="C41" s="131">
        <v>-130000</v>
      </c>
      <c r="D41" s="131">
        <v>0</v>
      </c>
      <c r="E41" s="131">
        <v>0</v>
      </c>
      <c r="F41" s="131">
        <v>0</v>
      </c>
      <c r="G41" s="131">
        <v>-130000</v>
      </c>
      <c r="H41" s="131">
        <v>-130000</v>
      </c>
    </row>
    <row r="42" spans="1:8" x14ac:dyDescent="0.25">
      <c r="A42" s="130" t="s">
        <v>189</v>
      </c>
      <c r="B42" s="131">
        <v>0</v>
      </c>
      <c r="C42" s="131">
        <v>0</v>
      </c>
      <c r="D42" s="131">
        <v>0</v>
      </c>
      <c r="E42" s="131">
        <v>100000</v>
      </c>
      <c r="F42" s="131">
        <v>0</v>
      </c>
      <c r="G42" s="131">
        <v>100000</v>
      </c>
      <c r="H42" s="131">
        <v>100000</v>
      </c>
    </row>
    <row r="43" spans="1:8" x14ac:dyDescent="0.25">
      <c r="A43" s="132" t="s">
        <v>29</v>
      </c>
      <c r="B43" s="133">
        <v>-271330</v>
      </c>
      <c r="C43" s="133">
        <v>-130000</v>
      </c>
      <c r="D43" s="133">
        <v>201324</v>
      </c>
      <c r="E43" s="133">
        <v>100000</v>
      </c>
      <c r="F43" s="133">
        <v>-70006</v>
      </c>
      <c r="G43" s="133">
        <v>-30000</v>
      </c>
      <c r="H43" s="133">
        <v>40006</v>
      </c>
    </row>
    <row r="44" spans="1:8" x14ac:dyDescent="0.25">
      <c r="A44" s="129" t="s">
        <v>154</v>
      </c>
      <c r="B44" s="131"/>
      <c r="C44" s="131"/>
      <c r="D44" s="131"/>
      <c r="E44" s="131"/>
      <c r="F44" s="131"/>
      <c r="G44" s="131"/>
      <c r="H44" s="131"/>
    </row>
    <row r="45" spans="1:8" x14ac:dyDescent="0.25">
      <c r="A45" s="130" t="s">
        <v>41</v>
      </c>
      <c r="B45" s="131">
        <v>0</v>
      </c>
      <c r="C45" s="131">
        <v>0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</row>
    <row r="46" spans="1:8" x14ac:dyDescent="0.25">
      <c r="A46" s="130" t="s">
        <v>44</v>
      </c>
      <c r="B46" s="131">
        <v>-85240</v>
      </c>
      <c r="C46" s="131">
        <v>0</v>
      </c>
      <c r="D46" s="131">
        <v>0</v>
      </c>
      <c r="E46" s="131">
        <v>0</v>
      </c>
      <c r="F46" s="131">
        <v>-85240</v>
      </c>
      <c r="G46" s="131">
        <v>0</v>
      </c>
      <c r="H46" s="131">
        <v>85240</v>
      </c>
    </row>
    <row r="47" spans="1:8" x14ac:dyDescent="0.25">
      <c r="A47" s="130" t="s">
        <v>127</v>
      </c>
      <c r="B47" s="131">
        <v>-1280</v>
      </c>
      <c r="C47" s="131">
        <v>0</v>
      </c>
      <c r="D47" s="131">
        <v>0</v>
      </c>
      <c r="E47" s="131">
        <v>0</v>
      </c>
      <c r="F47" s="131">
        <v>-1280</v>
      </c>
      <c r="G47" s="131">
        <v>0</v>
      </c>
      <c r="H47" s="131">
        <v>1280</v>
      </c>
    </row>
    <row r="48" spans="1:8" x14ac:dyDescent="0.25">
      <c r="A48" s="130" t="s">
        <v>46</v>
      </c>
      <c r="B48" s="131">
        <v>-14000</v>
      </c>
      <c r="C48" s="131">
        <v>0</v>
      </c>
      <c r="D48" s="131">
        <v>0</v>
      </c>
      <c r="E48" s="131">
        <v>0</v>
      </c>
      <c r="F48" s="131">
        <v>-14000</v>
      </c>
      <c r="G48" s="131">
        <v>0</v>
      </c>
      <c r="H48" s="131">
        <v>14000</v>
      </c>
    </row>
    <row r="49" spans="1:8" x14ac:dyDescent="0.25">
      <c r="A49" s="130" t="s">
        <v>50</v>
      </c>
      <c r="B49" s="131">
        <v>-495370</v>
      </c>
      <c r="C49" s="131">
        <v>0</v>
      </c>
      <c r="D49" s="131">
        <v>0</v>
      </c>
      <c r="E49" s="131">
        <v>0</v>
      </c>
      <c r="F49" s="131">
        <v>-495370</v>
      </c>
      <c r="G49" s="131">
        <v>0</v>
      </c>
      <c r="H49" s="131">
        <v>495370</v>
      </c>
    </row>
    <row r="50" spans="1:8" x14ac:dyDescent="0.25">
      <c r="A50" s="130" t="s">
        <v>190</v>
      </c>
      <c r="B50" s="131">
        <v>0</v>
      </c>
      <c r="C50" s="131">
        <v>-500000</v>
      </c>
      <c r="D50" s="131">
        <v>0</v>
      </c>
      <c r="E50" s="131">
        <v>0</v>
      </c>
      <c r="F50" s="131">
        <v>0</v>
      </c>
      <c r="G50" s="131">
        <v>-500000</v>
      </c>
      <c r="H50" s="131">
        <v>-500000</v>
      </c>
    </row>
    <row r="51" spans="1:8" x14ac:dyDescent="0.25">
      <c r="A51" s="132" t="s">
        <v>29</v>
      </c>
      <c r="B51" s="133">
        <v>-595890</v>
      </c>
      <c r="C51" s="133">
        <v>-500000</v>
      </c>
      <c r="D51" s="133">
        <v>0</v>
      </c>
      <c r="E51" s="133">
        <v>0</v>
      </c>
      <c r="F51" s="133">
        <v>-595890</v>
      </c>
      <c r="G51" s="133">
        <v>-500000</v>
      </c>
      <c r="H51" s="133">
        <v>95890</v>
      </c>
    </row>
    <row r="52" spans="1:8" x14ac:dyDescent="0.25">
      <c r="A52" s="129" t="s">
        <v>155</v>
      </c>
      <c r="B52" s="131"/>
      <c r="C52" s="131"/>
      <c r="D52" s="131"/>
      <c r="E52" s="131"/>
      <c r="F52" s="131"/>
      <c r="G52" s="131"/>
      <c r="H52" s="131"/>
    </row>
    <row r="53" spans="1:8" x14ac:dyDescent="0.25">
      <c r="A53" s="130" t="s">
        <v>126</v>
      </c>
      <c r="B53" s="131">
        <v>0</v>
      </c>
      <c r="C53" s="131">
        <v>0</v>
      </c>
      <c r="D53" s="131">
        <v>6456</v>
      </c>
      <c r="E53" s="131">
        <v>0</v>
      </c>
      <c r="F53" s="131">
        <v>6456</v>
      </c>
      <c r="G53" s="131">
        <v>0</v>
      </c>
      <c r="H53" s="131">
        <v>-6456</v>
      </c>
    </row>
    <row r="54" spans="1:8" x14ac:dyDescent="0.25">
      <c r="A54" s="130" t="s">
        <v>47</v>
      </c>
      <c r="B54" s="131">
        <v>0</v>
      </c>
      <c r="C54" s="131">
        <v>0</v>
      </c>
      <c r="D54" s="131">
        <v>1805</v>
      </c>
      <c r="E54" s="131">
        <v>0</v>
      </c>
      <c r="F54" s="131">
        <v>1805</v>
      </c>
      <c r="G54" s="131">
        <v>0</v>
      </c>
      <c r="H54" s="131">
        <v>-1805</v>
      </c>
    </row>
    <row r="55" spans="1:8" x14ac:dyDescent="0.25">
      <c r="A55" s="130" t="s">
        <v>51</v>
      </c>
      <c r="B55" s="131">
        <v>0</v>
      </c>
      <c r="C55" s="131">
        <v>0</v>
      </c>
      <c r="D55" s="131">
        <v>54445</v>
      </c>
      <c r="E55" s="131">
        <v>0</v>
      </c>
      <c r="F55" s="131">
        <v>54445</v>
      </c>
      <c r="G55" s="131">
        <v>0</v>
      </c>
      <c r="H55" s="131">
        <v>-54445</v>
      </c>
    </row>
    <row r="56" spans="1:8" x14ac:dyDescent="0.25">
      <c r="A56" s="130" t="s">
        <v>189</v>
      </c>
      <c r="B56" s="131">
        <v>0</v>
      </c>
      <c r="C56" s="131">
        <v>0</v>
      </c>
      <c r="D56" s="131">
        <v>0</v>
      </c>
      <c r="E56" s="131">
        <v>70000</v>
      </c>
      <c r="F56" s="131">
        <v>0</v>
      </c>
      <c r="G56" s="131">
        <v>70000</v>
      </c>
      <c r="H56" s="131">
        <v>70000</v>
      </c>
    </row>
    <row r="57" spans="1:8" x14ac:dyDescent="0.25">
      <c r="A57" s="132" t="s">
        <v>29</v>
      </c>
      <c r="B57" s="133">
        <v>0</v>
      </c>
      <c r="C57" s="133">
        <v>0</v>
      </c>
      <c r="D57" s="133">
        <v>62706</v>
      </c>
      <c r="E57" s="133">
        <v>70000</v>
      </c>
      <c r="F57" s="133">
        <v>62706</v>
      </c>
      <c r="G57" s="133">
        <v>70000</v>
      </c>
      <c r="H57" s="133">
        <v>7295</v>
      </c>
    </row>
    <row r="58" spans="1:8" x14ac:dyDescent="0.25">
      <c r="A58" s="129" t="s">
        <v>156</v>
      </c>
      <c r="B58" s="131"/>
      <c r="C58" s="131"/>
      <c r="D58" s="131"/>
      <c r="E58" s="131"/>
      <c r="F58" s="131"/>
      <c r="G58" s="131"/>
      <c r="H58" s="131"/>
    </row>
    <row r="59" spans="1:8" x14ac:dyDescent="0.25">
      <c r="A59" s="130" t="s">
        <v>41</v>
      </c>
      <c r="B59" s="131">
        <v>0</v>
      </c>
      <c r="C59" s="131">
        <v>0</v>
      </c>
      <c r="D59" s="131">
        <v>26161</v>
      </c>
      <c r="E59" s="131">
        <v>0</v>
      </c>
      <c r="F59" s="131">
        <v>26161</v>
      </c>
      <c r="G59" s="131">
        <v>0</v>
      </c>
      <c r="H59" s="131">
        <v>-26161</v>
      </c>
    </row>
    <row r="60" spans="1:8" x14ac:dyDescent="0.25">
      <c r="A60" s="130" t="s">
        <v>45</v>
      </c>
      <c r="B60" s="131">
        <v>0</v>
      </c>
      <c r="C60" s="131">
        <v>0</v>
      </c>
      <c r="D60" s="131">
        <v>1690</v>
      </c>
      <c r="E60" s="131">
        <v>0</v>
      </c>
      <c r="F60" s="131">
        <v>1690</v>
      </c>
      <c r="G60" s="131">
        <v>0</v>
      </c>
      <c r="H60" s="131">
        <v>-1690</v>
      </c>
    </row>
    <row r="61" spans="1:8" x14ac:dyDescent="0.25">
      <c r="A61" s="130" t="s">
        <v>73</v>
      </c>
      <c r="B61" s="131">
        <v>0</v>
      </c>
      <c r="C61" s="131">
        <v>0</v>
      </c>
      <c r="D61" s="131">
        <v>1690</v>
      </c>
      <c r="E61" s="131">
        <v>0</v>
      </c>
      <c r="F61" s="131">
        <v>1690</v>
      </c>
      <c r="G61" s="131">
        <v>0</v>
      </c>
      <c r="H61" s="131">
        <v>-1690</v>
      </c>
    </row>
    <row r="62" spans="1:8" x14ac:dyDescent="0.25">
      <c r="A62" s="130" t="s">
        <v>52</v>
      </c>
      <c r="B62" s="131">
        <v>0</v>
      </c>
      <c r="C62" s="131">
        <v>0</v>
      </c>
      <c r="D62" s="131">
        <v>2399</v>
      </c>
      <c r="E62" s="131">
        <v>0</v>
      </c>
      <c r="F62" s="131">
        <v>2399</v>
      </c>
      <c r="G62" s="131">
        <v>0</v>
      </c>
      <c r="H62" s="131">
        <v>-2399</v>
      </c>
    </row>
    <row r="63" spans="1:8" x14ac:dyDescent="0.25">
      <c r="A63" s="130" t="s">
        <v>53</v>
      </c>
      <c r="B63" s="131">
        <v>0</v>
      </c>
      <c r="C63" s="131">
        <v>0</v>
      </c>
      <c r="D63" s="131">
        <v>620</v>
      </c>
      <c r="E63" s="131">
        <v>0</v>
      </c>
      <c r="F63" s="131">
        <v>620</v>
      </c>
      <c r="G63" s="131">
        <v>0</v>
      </c>
      <c r="H63" s="131">
        <v>-620</v>
      </c>
    </row>
    <row r="64" spans="1:8" x14ac:dyDescent="0.25">
      <c r="A64" s="130" t="s">
        <v>189</v>
      </c>
      <c r="B64" s="131">
        <v>0</v>
      </c>
      <c r="C64" s="131">
        <v>0</v>
      </c>
      <c r="D64" s="131">
        <v>0</v>
      </c>
      <c r="E64" s="131">
        <v>90000</v>
      </c>
      <c r="F64" s="131">
        <v>0</v>
      </c>
      <c r="G64" s="131">
        <v>90000</v>
      </c>
      <c r="H64" s="131">
        <v>90000</v>
      </c>
    </row>
    <row r="65" spans="1:8" x14ac:dyDescent="0.25">
      <c r="A65" s="132" t="s">
        <v>29</v>
      </c>
      <c r="B65" s="133">
        <v>0</v>
      </c>
      <c r="C65" s="133">
        <v>0</v>
      </c>
      <c r="D65" s="133">
        <v>32560</v>
      </c>
      <c r="E65" s="133">
        <v>90000</v>
      </c>
      <c r="F65" s="133">
        <v>32560</v>
      </c>
      <c r="G65" s="133">
        <v>90000</v>
      </c>
      <c r="H65" s="133">
        <v>57440</v>
      </c>
    </row>
    <row r="66" spans="1:8" x14ac:dyDescent="0.25">
      <c r="A66" s="129" t="s">
        <v>60</v>
      </c>
      <c r="B66" s="131"/>
      <c r="C66" s="131"/>
      <c r="D66" s="131"/>
      <c r="E66" s="131"/>
      <c r="F66" s="131"/>
      <c r="G66" s="131"/>
      <c r="H66" s="131"/>
    </row>
    <row r="67" spans="1:8" x14ac:dyDescent="0.25">
      <c r="A67" s="130" t="s">
        <v>61</v>
      </c>
      <c r="B67" s="131">
        <v>-43000</v>
      </c>
      <c r="C67" s="131">
        <v>0</v>
      </c>
      <c r="D67" s="131">
        <v>43000</v>
      </c>
      <c r="E67" s="131">
        <v>0</v>
      </c>
      <c r="F67" s="131">
        <v>0</v>
      </c>
      <c r="G67" s="131">
        <v>0</v>
      </c>
      <c r="H67" s="131">
        <v>0</v>
      </c>
    </row>
    <row r="68" spans="1:8" x14ac:dyDescent="0.25">
      <c r="A68" s="130" t="s">
        <v>190</v>
      </c>
      <c r="B68" s="131">
        <v>0</v>
      </c>
      <c r="C68" s="131">
        <v>-70000</v>
      </c>
      <c r="D68" s="131">
        <v>0</v>
      </c>
      <c r="E68" s="131">
        <v>0</v>
      </c>
      <c r="F68" s="131">
        <v>0</v>
      </c>
      <c r="G68" s="131">
        <v>-70000</v>
      </c>
      <c r="H68" s="131">
        <v>-70000</v>
      </c>
    </row>
    <row r="69" spans="1:8" x14ac:dyDescent="0.25">
      <c r="A69" s="130" t="s">
        <v>189</v>
      </c>
      <c r="B69" s="131">
        <v>0</v>
      </c>
      <c r="C69" s="131">
        <v>0</v>
      </c>
      <c r="D69" s="131">
        <v>0</v>
      </c>
      <c r="E69" s="131">
        <v>70000</v>
      </c>
      <c r="F69" s="131">
        <v>0</v>
      </c>
      <c r="G69" s="131">
        <v>70000</v>
      </c>
      <c r="H69" s="131">
        <v>70000</v>
      </c>
    </row>
    <row r="70" spans="1:8" x14ac:dyDescent="0.25">
      <c r="A70" s="132" t="s">
        <v>29</v>
      </c>
      <c r="B70" s="133">
        <v>-43000</v>
      </c>
      <c r="C70" s="133">
        <v>-70000</v>
      </c>
      <c r="D70" s="133">
        <v>43000</v>
      </c>
      <c r="E70" s="133">
        <v>70000</v>
      </c>
      <c r="F70" s="133">
        <v>0</v>
      </c>
      <c r="G70" s="133">
        <v>0</v>
      </c>
      <c r="H70" s="133">
        <v>0</v>
      </c>
    </row>
    <row r="71" spans="1:8" x14ac:dyDescent="0.25">
      <c r="A71" s="129" t="s">
        <v>157</v>
      </c>
      <c r="B71" s="131"/>
      <c r="C71" s="131"/>
      <c r="D71" s="131"/>
      <c r="E71" s="131"/>
      <c r="F71" s="131"/>
      <c r="G71" s="131"/>
      <c r="H71" s="131"/>
    </row>
    <row r="72" spans="1:8" x14ac:dyDescent="0.25">
      <c r="A72" s="130" t="s">
        <v>191</v>
      </c>
      <c r="B72" s="131">
        <v>-6750</v>
      </c>
      <c r="C72" s="131">
        <v>0</v>
      </c>
      <c r="D72" s="131">
        <v>6750</v>
      </c>
      <c r="E72" s="131">
        <v>0</v>
      </c>
      <c r="F72" s="131">
        <v>0</v>
      </c>
      <c r="G72" s="131">
        <v>0</v>
      </c>
      <c r="H72" s="131">
        <v>0</v>
      </c>
    </row>
    <row r="73" spans="1:8" x14ac:dyDescent="0.25">
      <c r="A73" s="130" t="s">
        <v>190</v>
      </c>
      <c r="B73" s="131">
        <v>0</v>
      </c>
      <c r="C73" s="131">
        <v>-3000</v>
      </c>
      <c r="D73" s="131">
        <v>0</v>
      </c>
      <c r="E73" s="131">
        <v>0</v>
      </c>
      <c r="F73" s="131">
        <v>0</v>
      </c>
      <c r="G73" s="131">
        <v>-3000</v>
      </c>
      <c r="H73" s="131">
        <v>-3000</v>
      </c>
    </row>
    <row r="74" spans="1:8" x14ac:dyDescent="0.25">
      <c r="A74" s="130" t="s">
        <v>189</v>
      </c>
      <c r="B74" s="131">
        <v>0</v>
      </c>
      <c r="C74" s="131">
        <v>0</v>
      </c>
      <c r="D74" s="131">
        <v>0</v>
      </c>
      <c r="E74" s="131">
        <v>3000</v>
      </c>
      <c r="F74" s="131">
        <v>0</v>
      </c>
      <c r="G74" s="131">
        <v>3000</v>
      </c>
      <c r="H74" s="131">
        <v>3000</v>
      </c>
    </row>
    <row r="75" spans="1:8" x14ac:dyDescent="0.25">
      <c r="A75" s="132" t="s">
        <v>29</v>
      </c>
      <c r="B75" s="133">
        <v>-6750</v>
      </c>
      <c r="C75" s="133">
        <v>-3000</v>
      </c>
      <c r="D75" s="133">
        <v>6750</v>
      </c>
      <c r="E75" s="133">
        <v>3000</v>
      </c>
      <c r="F75" s="133">
        <v>0</v>
      </c>
      <c r="G75" s="133">
        <v>0</v>
      </c>
      <c r="H75" s="133">
        <v>0</v>
      </c>
    </row>
    <row r="76" spans="1:8" x14ac:dyDescent="0.25">
      <c r="A76" s="129" t="s">
        <v>136</v>
      </c>
      <c r="B76" s="131"/>
      <c r="C76" s="131"/>
      <c r="D76" s="131"/>
      <c r="E76" s="131"/>
      <c r="F76" s="131"/>
      <c r="G76" s="131"/>
      <c r="H76" s="131"/>
    </row>
    <row r="77" spans="1:8" x14ac:dyDescent="0.25">
      <c r="A77" s="130" t="s">
        <v>137</v>
      </c>
      <c r="B77" s="131">
        <v>-1500</v>
      </c>
      <c r="C77" s="131">
        <v>0</v>
      </c>
      <c r="D77" s="131">
        <v>1500</v>
      </c>
      <c r="E77" s="131">
        <v>0</v>
      </c>
      <c r="F77" s="131">
        <v>0</v>
      </c>
      <c r="G77" s="131">
        <v>0</v>
      </c>
      <c r="H77" s="131">
        <v>0</v>
      </c>
    </row>
    <row r="78" spans="1:8" x14ac:dyDescent="0.25">
      <c r="A78" s="130" t="s">
        <v>192</v>
      </c>
      <c r="B78" s="131">
        <v>-1885</v>
      </c>
      <c r="C78" s="131">
        <v>0</v>
      </c>
      <c r="D78" s="131">
        <v>8000</v>
      </c>
      <c r="E78" s="131">
        <v>0</v>
      </c>
      <c r="F78" s="131">
        <v>6115</v>
      </c>
      <c r="G78" s="131">
        <v>0</v>
      </c>
      <c r="H78" s="131">
        <v>-6115</v>
      </c>
    </row>
    <row r="79" spans="1:8" x14ac:dyDescent="0.25">
      <c r="A79" s="130" t="s">
        <v>190</v>
      </c>
      <c r="B79" s="131">
        <v>0</v>
      </c>
      <c r="C79" s="131">
        <v>-10000</v>
      </c>
      <c r="D79" s="131">
        <v>0</v>
      </c>
      <c r="E79" s="131">
        <v>0</v>
      </c>
      <c r="F79" s="131">
        <v>0</v>
      </c>
      <c r="G79" s="131">
        <v>-10000</v>
      </c>
      <c r="H79" s="131">
        <v>-10000</v>
      </c>
    </row>
    <row r="80" spans="1:8" x14ac:dyDescent="0.25">
      <c r="A80" s="130" t="s">
        <v>189</v>
      </c>
      <c r="B80" s="131">
        <v>0</v>
      </c>
      <c r="C80" s="131">
        <v>0</v>
      </c>
      <c r="D80" s="131">
        <v>0</v>
      </c>
      <c r="E80" s="131">
        <v>10000</v>
      </c>
      <c r="F80" s="131">
        <v>0</v>
      </c>
      <c r="G80" s="131">
        <v>10000</v>
      </c>
      <c r="H80" s="131">
        <v>10000</v>
      </c>
    </row>
    <row r="81" spans="1:8" x14ac:dyDescent="0.25">
      <c r="A81" s="132" t="s">
        <v>29</v>
      </c>
      <c r="B81" s="133">
        <v>-3385</v>
      </c>
      <c r="C81" s="133">
        <v>-10000</v>
      </c>
      <c r="D81" s="133">
        <v>9500</v>
      </c>
      <c r="E81" s="133">
        <v>10000</v>
      </c>
      <c r="F81" s="133">
        <v>6115</v>
      </c>
      <c r="G81" s="133">
        <v>0</v>
      </c>
      <c r="H81" s="133">
        <v>-6115</v>
      </c>
    </row>
    <row r="82" spans="1:8" x14ac:dyDescent="0.25">
      <c r="A82" s="129" t="s">
        <v>158</v>
      </c>
      <c r="B82" s="131"/>
      <c r="C82" s="131"/>
      <c r="D82" s="131"/>
      <c r="E82" s="131"/>
      <c r="F82" s="131"/>
      <c r="G82" s="131"/>
      <c r="H82" s="131"/>
    </row>
    <row r="83" spans="1:8" x14ac:dyDescent="0.25">
      <c r="A83" s="130" t="s">
        <v>190</v>
      </c>
      <c r="B83" s="131">
        <v>0</v>
      </c>
      <c r="C83" s="131">
        <v>-5000</v>
      </c>
      <c r="D83" s="131">
        <v>0</v>
      </c>
      <c r="E83" s="131">
        <v>0</v>
      </c>
      <c r="F83" s="131">
        <v>0</v>
      </c>
      <c r="G83" s="131">
        <v>-5000</v>
      </c>
      <c r="H83" s="131">
        <v>-5000</v>
      </c>
    </row>
    <row r="84" spans="1:8" x14ac:dyDescent="0.25">
      <c r="A84" s="130" t="s">
        <v>189</v>
      </c>
      <c r="B84" s="131">
        <v>0</v>
      </c>
      <c r="C84" s="131">
        <v>0</v>
      </c>
      <c r="D84" s="131">
        <v>0</v>
      </c>
      <c r="E84" s="131">
        <v>5000</v>
      </c>
      <c r="F84" s="131">
        <v>0</v>
      </c>
      <c r="G84" s="131">
        <v>5000</v>
      </c>
      <c r="H84" s="131">
        <v>5000</v>
      </c>
    </row>
    <row r="85" spans="1:8" x14ac:dyDescent="0.25">
      <c r="A85" s="132" t="s">
        <v>29</v>
      </c>
      <c r="B85" s="133">
        <v>0</v>
      </c>
      <c r="C85" s="133">
        <v>-5000</v>
      </c>
      <c r="D85" s="133">
        <v>0</v>
      </c>
      <c r="E85" s="133">
        <v>5000</v>
      </c>
      <c r="F85" s="133">
        <v>0</v>
      </c>
      <c r="G85" s="133">
        <v>0</v>
      </c>
      <c r="H85" s="133">
        <v>0</v>
      </c>
    </row>
    <row r="86" spans="1:8" x14ac:dyDescent="0.25">
      <c r="A86" s="129" t="s">
        <v>63</v>
      </c>
      <c r="B86" s="131"/>
      <c r="C86" s="131"/>
      <c r="D86" s="131"/>
      <c r="E86" s="131"/>
      <c r="F86" s="131"/>
      <c r="G86" s="131"/>
      <c r="H86" s="131"/>
    </row>
    <row r="87" spans="1:8" x14ac:dyDescent="0.25">
      <c r="A87" s="130" t="s">
        <v>64</v>
      </c>
      <c r="B87" s="131">
        <v>-134400</v>
      </c>
      <c r="C87" s="131">
        <v>0</v>
      </c>
      <c r="D87" s="131">
        <v>134050</v>
      </c>
      <c r="E87" s="131">
        <v>0</v>
      </c>
      <c r="F87" s="131">
        <v>-350</v>
      </c>
      <c r="G87" s="131">
        <v>0</v>
      </c>
      <c r="H87" s="131">
        <v>350</v>
      </c>
    </row>
    <row r="88" spans="1:8" x14ac:dyDescent="0.25">
      <c r="A88" s="130" t="s">
        <v>66</v>
      </c>
      <c r="B88" s="131">
        <v>-340310</v>
      </c>
      <c r="C88" s="131">
        <v>0</v>
      </c>
      <c r="D88" s="131">
        <v>362485</v>
      </c>
      <c r="E88" s="131">
        <v>0</v>
      </c>
      <c r="F88" s="131">
        <v>22175</v>
      </c>
      <c r="G88" s="131">
        <v>0</v>
      </c>
      <c r="H88" s="131">
        <v>-22175</v>
      </c>
    </row>
    <row r="89" spans="1:8" x14ac:dyDescent="0.25">
      <c r="A89" s="130" t="s">
        <v>56</v>
      </c>
      <c r="B89" s="131">
        <v>-315500</v>
      </c>
      <c r="C89" s="131">
        <v>0</v>
      </c>
      <c r="D89" s="131">
        <v>160812</v>
      </c>
      <c r="E89" s="131">
        <v>0</v>
      </c>
      <c r="F89" s="131">
        <v>-154688</v>
      </c>
      <c r="G89" s="131">
        <v>0</v>
      </c>
      <c r="H89" s="131">
        <v>154688</v>
      </c>
    </row>
    <row r="90" spans="1:8" x14ac:dyDescent="0.25">
      <c r="A90" s="130" t="s">
        <v>190</v>
      </c>
      <c r="B90" s="131">
        <v>0</v>
      </c>
      <c r="C90" s="131">
        <v>-1580000</v>
      </c>
      <c r="D90" s="131">
        <v>0</v>
      </c>
      <c r="E90" s="131">
        <v>0</v>
      </c>
      <c r="F90" s="131">
        <v>0</v>
      </c>
      <c r="G90" s="131">
        <v>-1580000</v>
      </c>
      <c r="H90" s="131">
        <v>-1580000</v>
      </c>
    </row>
    <row r="91" spans="1:8" x14ac:dyDescent="0.25">
      <c r="A91" s="130" t="s">
        <v>189</v>
      </c>
      <c r="B91" s="131">
        <v>0</v>
      </c>
      <c r="C91" s="131">
        <v>0</v>
      </c>
      <c r="D91" s="131">
        <v>0</v>
      </c>
      <c r="E91" s="131">
        <v>1580000</v>
      </c>
      <c r="F91" s="131">
        <v>0</v>
      </c>
      <c r="G91" s="131">
        <v>1580000</v>
      </c>
      <c r="H91" s="131">
        <v>1580000</v>
      </c>
    </row>
    <row r="92" spans="1:8" x14ac:dyDescent="0.25">
      <c r="A92" s="132" t="s">
        <v>29</v>
      </c>
      <c r="B92" s="133">
        <v>-790210</v>
      </c>
      <c r="C92" s="133">
        <v>-1580000</v>
      </c>
      <c r="D92" s="133">
        <v>657347</v>
      </c>
      <c r="E92" s="133">
        <v>1580000</v>
      </c>
      <c r="F92" s="133">
        <v>-132863</v>
      </c>
      <c r="G92" s="133">
        <v>0</v>
      </c>
      <c r="H92" s="133">
        <v>132863</v>
      </c>
    </row>
    <row r="93" spans="1:8" x14ac:dyDescent="0.25">
      <c r="A93" s="129" t="s">
        <v>69</v>
      </c>
      <c r="B93" s="131"/>
      <c r="C93" s="131"/>
      <c r="D93" s="131"/>
      <c r="E93" s="131"/>
      <c r="F93" s="131"/>
      <c r="G93" s="131"/>
      <c r="H93" s="131"/>
    </row>
    <row r="94" spans="1:8" x14ac:dyDescent="0.25">
      <c r="A94" s="130" t="s">
        <v>70</v>
      </c>
      <c r="B94" s="131">
        <v>-1595927</v>
      </c>
      <c r="C94" s="131">
        <v>0</v>
      </c>
      <c r="D94" s="131">
        <v>1537490</v>
      </c>
      <c r="E94" s="131">
        <v>0</v>
      </c>
      <c r="F94" s="131">
        <v>-58437</v>
      </c>
      <c r="G94" s="131">
        <v>0</v>
      </c>
      <c r="H94" s="131">
        <v>58437</v>
      </c>
    </row>
    <row r="95" spans="1:8" x14ac:dyDescent="0.25">
      <c r="A95" s="130" t="s">
        <v>190</v>
      </c>
      <c r="B95" s="131">
        <v>0</v>
      </c>
      <c r="C95" s="131">
        <v>-1500000</v>
      </c>
      <c r="D95" s="131">
        <v>0</v>
      </c>
      <c r="E95" s="131">
        <v>0</v>
      </c>
      <c r="F95" s="131">
        <v>0</v>
      </c>
      <c r="G95" s="131">
        <v>-1500000</v>
      </c>
      <c r="H95" s="131">
        <v>-1500000</v>
      </c>
    </row>
    <row r="96" spans="1:8" x14ac:dyDescent="0.25">
      <c r="A96" s="130" t="s">
        <v>189</v>
      </c>
      <c r="B96" s="131">
        <v>0</v>
      </c>
      <c r="C96" s="131">
        <v>0</v>
      </c>
      <c r="D96" s="131">
        <v>0</v>
      </c>
      <c r="E96" s="131">
        <v>1500000</v>
      </c>
      <c r="F96" s="131">
        <v>0</v>
      </c>
      <c r="G96" s="131">
        <v>1500000</v>
      </c>
      <c r="H96" s="131">
        <v>1500000</v>
      </c>
    </row>
    <row r="97" spans="1:8" x14ac:dyDescent="0.25">
      <c r="A97" s="132" t="s">
        <v>29</v>
      </c>
      <c r="B97" s="133">
        <v>-1595927</v>
      </c>
      <c r="C97" s="133">
        <v>-1500000</v>
      </c>
      <c r="D97" s="133">
        <v>1537490</v>
      </c>
      <c r="E97" s="133">
        <v>1500000</v>
      </c>
      <c r="F97" s="133">
        <v>-58437</v>
      </c>
      <c r="G97" s="133">
        <v>0</v>
      </c>
      <c r="H97" s="133">
        <v>58437</v>
      </c>
    </row>
    <row r="98" spans="1:8" x14ac:dyDescent="0.25">
      <c r="A98" s="129" t="s">
        <v>139</v>
      </c>
      <c r="B98" s="131"/>
      <c r="C98" s="131"/>
      <c r="D98" s="131"/>
      <c r="E98" s="131"/>
      <c r="F98" s="131"/>
      <c r="G98" s="131"/>
      <c r="H98" s="131"/>
    </row>
    <row r="99" spans="1:8" x14ac:dyDescent="0.25">
      <c r="A99" s="130" t="s">
        <v>193</v>
      </c>
      <c r="B99" s="131">
        <v>0</v>
      </c>
      <c r="C99" s="131">
        <v>0</v>
      </c>
      <c r="D99" s="131">
        <v>9756</v>
      </c>
      <c r="E99" s="131">
        <v>0</v>
      </c>
      <c r="F99" s="131">
        <v>9756</v>
      </c>
      <c r="G99" s="131">
        <v>0</v>
      </c>
      <c r="H99" s="131">
        <v>-9756</v>
      </c>
    </row>
    <row r="100" spans="1:8" x14ac:dyDescent="0.25">
      <c r="A100" s="130" t="s">
        <v>140</v>
      </c>
      <c r="B100" s="131">
        <v>-200000</v>
      </c>
      <c r="C100" s="131">
        <v>0</v>
      </c>
      <c r="D100" s="131">
        <v>77389</v>
      </c>
      <c r="E100" s="131">
        <v>0</v>
      </c>
      <c r="F100" s="131">
        <v>-122611</v>
      </c>
      <c r="G100" s="131">
        <v>0</v>
      </c>
      <c r="H100" s="131">
        <v>122611</v>
      </c>
    </row>
    <row r="101" spans="1:8" x14ac:dyDescent="0.25">
      <c r="A101" s="130" t="s">
        <v>141</v>
      </c>
      <c r="B101" s="131">
        <v>-1120000</v>
      </c>
      <c r="C101" s="131">
        <v>0</v>
      </c>
      <c r="D101" s="131">
        <v>0</v>
      </c>
      <c r="E101" s="131">
        <v>0</v>
      </c>
      <c r="F101" s="131">
        <v>-1120000</v>
      </c>
      <c r="G101" s="131">
        <v>0</v>
      </c>
      <c r="H101" s="131">
        <v>1120000</v>
      </c>
    </row>
    <row r="102" spans="1:8" x14ac:dyDescent="0.25">
      <c r="A102" s="130" t="s">
        <v>142</v>
      </c>
      <c r="B102" s="131">
        <v>0</v>
      </c>
      <c r="C102" s="131">
        <v>0</v>
      </c>
      <c r="D102" s="131">
        <v>87138</v>
      </c>
      <c r="E102" s="131">
        <v>0</v>
      </c>
      <c r="F102" s="131">
        <v>87138</v>
      </c>
      <c r="G102" s="131">
        <v>0</v>
      </c>
      <c r="H102" s="131">
        <v>-87138</v>
      </c>
    </row>
    <row r="103" spans="1:8" x14ac:dyDescent="0.25">
      <c r="A103" s="130" t="s">
        <v>194</v>
      </c>
      <c r="B103" s="131">
        <v>0</v>
      </c>
      <c r="C103" s="131">
        <v>0</v>
      </c>
      <c r="D103" s="131">
        <v>75490</v>
      </c>
      <c r="E103" s="131">
        <v>0</v>
      </c>
      <c r="F103" s="131">
        <v>75490</v>
      </c>
      <c r="G103" s="131">
        <v>0</v>
      </c>
      <c r="H103" s="131">
        <v>-75490</v>
      </c>
    </row>
    <row r="104" spans="1:8" x14ac:dyDescent="0.25">
      <c r="A104" s="130" t="s">
        <v>195</v>
      </c>
      <c r="B104" s="131">
        <v>0</v>
      </c>
      <c r="C104" s="131">
        <v>0</v>
      </c>
      <c r="D104" s="131">
        <v>11485</v>
      </c>
      <c r="E104" s="131">
        <v>0</v>
      </c>
      <c r="F104" s="131">
        <v>11485</v>
      </c>
      <c r="G104" s="131">
        <v>0</v>
      </c>
      <c r="H104" s="131">
        <v>-11485</v>
      </c>
    </row>
    <row r="105" spans="1:8" x14ac:dyDescent="0.25">
      <c r="A105" s="130" t="s">
        <v>196</v>
      </c>
      <c r="B105" s="131">
        <v>0</v>
      </c>
      <c r="C105" s="131">
        <v>0</v>
      </c>
      <c r="D105" s="131">
        <v>13050</v>
      </c>
      <c r="E105" s="131">
        <v>0</v>
      </c>
      <c r="F105" s="131">
        <v>13050</v>
      </c>
      <c r="G105" s="131">
        <v>0</v>
      </c>
      <c r="H105" s="131">
        <v>-13050</v>
      </c>
    </row>
    <row r="106" spans="1:8" x14ac:dyDescent="0.25">
      <c r="A106" s="130" t="s">
        <v>145</v>
      </c>
      <c r="B106" s="131">
        <v>-270359</v>
      </c>
      <c r="C106" s="131">
        <v>0</v>
      </c>
      <c r="D106" s="131">
        <v>88320</v>
      </c>
      <c r="E106" s="131">
        <v>0</v>
      </c>
      <c r="F106" s="131">
        <v>-182039</v>
      </c>
      <c r="G106" s="131">
        <v>0</v>
      </c>
      <c r="H106" s="131">
        <v>182039</v>
      </c>
    </row>
    <row r="107" spans="1:8" x14ac:dyDescent="0.25">
      <c r="A107" s="130" t="s">
        <v>146</v>
      </c>
      <c r="B107" s="131">
        <v>-482055</v>
      </c>
      <c r="C107" s="131">
        <v>0</v>
      </c>
      <c r="D107" s="131">
        <v>925824</v>
      </c>
      <c r="E107" s="131">
        <v>0</v>
      </c>
      <c r="F107" s="131">
        <v>443769</v>
      </c>
      <c r="G107" s="131">
        <v>0</v>
      </c>
      <c r="H107" s="131">
        <v>-443769</v>
      </c>
    </row>
    <row r="108" spans="1:8" x14ac:dyDescent="0.25">
      <c r="A108" s="130" t="s">
        <v>197</v>
      </c>
      <c r="B108" s="131">
        <v>0</v>
      </c>
      <c r="C108" s="131">
        <v>0</v>
      </c>
      <c r="D108" s="131">
        <v>259393</v>
      </c>
      <c r="E108" s="131">
        <v>0</v>
      </c>
      <c r="F108" s="131">
        <v>259393</v>
      </c>
      <c r="G108" s="131">
        <v>0</v>
      </c>
      <c r="H108" s="131">
        <v>-259393</v>
      </c>
    </row>
    <row r="109" spans="1:8" x14ac:dyDescent="0.25">
      <c r="A109" s="130" t="s">
        <v>147</v>
      </c>
      <c r="B109" s="131">
        <v>0</v>
      </c>
      <c r="C109" s="131">
        <v>0</v>
      </c>
      <c r="D109" s="131">
        <v>36000</v>
      </c>
      <c r="E109" s="131">
        <v>0</v>
      </c>
      <c r="F109" s="131">
        <v>36000</v>
      </c>
      <c r="G109" s="131">
        <v>0</v>
      </c>
      <c r="H109" s="131">
        <v>-36000</v>
      </c>
    </row>
    <row r="110" spans="1:8" x14ac:dyDescent="0.25">
      <c r="A110" s="130" t="s">
        <v>190</v>
      </c>
      <c r="B110" s="131">
        <v>0</v>
      </c>
      <c r="C110" s="131">
        <v>-1400000</v>
      </c>
      <c r="D110" s="131">
        <v>0</v>
      </c>
      <c r="E110" s="131">
        <v>0</v>
      </c>
      <c r="F110" s="131">
        <v>0</v>
      </c>
      <c r="G110" s="131">
        <v>-1400000</v>
      </c>
      <c r="H110" s="131">
        <v>-1400000</v>
      </c>
    </row>
    <row r="111" spans="1:8" x14ac:dyDescent="0.25">
      <c r="A111" s="130" t="s">
        <v>57</v>
      </c>
      <c r="B111" s="131">
        <v>0</v>
      </c>
      <c r="C111" s="131">
        <v>0</v>
      </c>
      <c r="D111" s="131">
        <v>530138</v>
      </c>
      <c r="E111" s="131">
        <v>0</v>
      </c>
      <c r="F111" s="131">
        <v>530138</v>
      </c>
      <c r="G111" s="131">
        <v>0</v>
      </c>
      <c r="H111" s="131">
        <v>-530138</v>
      </c>
    </row>
    <row r="112" spans="1:8" x14ac:dyDescent="0.25">
      <c r="A112" s="130" t="s">
        <v>189</v>
      </c>
      <c r="B112" s="131">
        <v>0</v>
      </c>
      <c r="C112" s="131">
        <v>0</v>
      </c>
      <c r="D112" s="131">
        <v>0</v>
      </c>
      <c r="E112" s="131">
        <v>1400000</v>
      </c>
      <c r="F112" s="131">
        <v>0</v>
      </c>
      <c r="G112" s="131">
        <v>1400000</v>
      </c>
      <c r="H112" s="131">
        <v>1400000</v>
      </c>
    </row>
    <row r="113" spans="1:8" x14ac:dyDescent="0.25">
      <c r="A113" s="132" t="s">
        <v>29</v>
      </c>
      <c r="B113" s="133">
        <v>-2072414</v>
      </c>
      <c r="C113" s="133">
        <v>-1400000</v>
      </c>
      <c r="D113" s="133">
        <v>2113982</v>
      </c>
      <c r="E113" s="133">
        <v>1400000</v>
      </c>
      <c r="F113" s="133">
        <v>41568</v>
      </c>
      <c r="G113" s="133">
        <v>0</v>
      </c>
      <c r="H113" s="133">
        <v>-41568</v>
      </c>
    </row>
    <row r="114" spans="1:8" x14ac:dyDescent="0.25">
      <c r="A114" s="129" t="s">
        <v>159</v>
      </c>
      <c r="B114" s="131"/>
      <c r="C114" s="131"/>
      <c r="D114" s="131"/>
      <c r="E114" s="131"/>
      <c r="F114" s="131"/>
      <c r="G114" s="131"/>
      <c r="H114" s="131"/>
    </row>
    <row r="115" spans="1:8" x14ac:dyDescent="0.25">
      <c r="A115" s="130" t="s">
        <v>190</v>
      </c>
      <c r="B115" s="131">
        <v>0</v>
      </c>
      <c r="C115" s="131">
        <v>-2000</v>
      </c>
      <c r="D115" s="131">
        <v>0</v>
      </c>
      <c r="E115" s="131">
        <v>0</v>
      </c>
      <c r="F115" s="131">
        <v>0</v>
      </c>
      <c r="G115" s="131">
        <v>-2000</v>
      </c>
      <c r="H115" s="131">
        <v>-2000</v>
      </c>
    </row>
    <row r="116" spans="1:8" x14ac:dyDescent="0.25">
      <c r="A116" s="130" t="s">
        <v>189</v>
      </c>
      <c r="B116" s="131">
        <v>0</v>
      </c>
      <c r="C116" s="131">
        <v>0</v>
      </c>
      <c r="D116" s="131">
        <v>0</v>
      </c>
      <c r="E116" s="131">
        <v>2000</v>
      </c>
      <c r="F116" s="131">
        <v>0</v>
      </c>
      <c r="G116" s="131">
        <v>2000</v>
      </c>
      <c r="H116" s="131">
        <v>2000</v>
      </c>
    </row>
    <row r="117" spans="1:8" x14ac:dyDescent="0.25">
      <c r="A117" s="132" t="s">
        <v>29</v>
      </c>
      <c r="B117" s="133">
        <v>0</v>
      </c>
      <c r="C117" s="133">
        <v>-2000</v>
      </c>
      <c r="D117" s="133">
        <v>0</v>
      </c>
      <c r="E117" s="133">
        <v>2000</v>
      </c>
      <c r="F117" s="133">
        <v>0</v>
      </c>
      <c r="G117" s="133">
        <v>0</v>
      </c>
      <c r="H117" s="133">
        <v>0</v>
      </c>
    </row>
    <row r="118" spans="1:8" x14ac:dyDescent="0.25">
      <c r="A118" s="129" t="s">
        <v>160</v>
      </c>
      <c r="B118" s="131"/>
      <c r="C118" s="131"/>
      <c r="D118" s="131"/>
      <c r="E118" s="131"/>
      <c r="F118" s="131"/>
      <c r="G118" s="131"/>
      <c r="H118" s="131"/>
    </row>
    <row r="119" spans="1:8" x14ac:dyDescent="0.25">
      <c r="A119" s="130" t="s">
        <v>39</v>
      </c>
      <c r="B119" s="131">
        <v>-79834</v>
      </c>
      <c r="C119" s="131">
        <v>0</v>
      </c>
      <c r="D119" s="131">
        <v>2519</v>
      </c>
      <c r="E119" s="131">
        <v>0</v>
      </c>
      <c r="F119" s="131">
        <v>-77315</v>
      </c>
      <c r="G119" s="131">
        <v>0</v>
      </c>
      <c r="H119" s="131">
        <v>77315</v>
      </c>
    </row>
    <row r="120" spans="1:8" x14ac:dyDescent="0.25">
      <c r="A120" s="130" t="s">
        <v>190</v>
      </c>
      <c r="B120" s="131">
        <v>0</v>
      </c>
      <c r="C120" s="131">
        <v>-150000</v>
      </c>
      <c r="D120" s="131">
        <v>0</v>
      </c>
      <c r="E120" s="131">
        <v>0</v>
      </c>
      <c r="F120" s="131">
        <v>0</v>
      </c>
      <c r="G120" s="131">
        <v>-150000</v>
      </c>
      <c r="H120" s="131">
        <v>-150000</v>
      </c>
    </row>
    <row r="121" spans="1:8" x14ac:dyDescent="0.25">
      <c r="A121" s="130" t="s">
        <v>189</v>
      </c>
      <c r="B121" s="131">
        <v>0</v>
      </c>
      <c r="C121" s="131">
        <v>0</v>
      </c>
      <c r="D121" s="131">
        <v>0</v>
      </c>
      <c r="E121" s="131">
        <v>65000</v>
      </c>
      <c r="F121" s="131">
        <v>0</v>
      </c>
      <c r="G121" s="131">
        <v>65000</v>
      </c>
      <c r="H121" s="131">
        <v>65000</v>
      </c>
    </row>
    <row r="122" spans="1:8" x14ac:dyDescent="0.25">
      <c r="A122" s="132" t="s">
        <v>29</v>
      </c>
      <c r="B122" s="133">
        <v>-79834</v>
      </c>
      <c r="C122" s="133">
        <v>-150000</v>
      </c>
      <c r="D122" s="133">
        <v>2519</v>
      </c>
      <c r="E122" s="133">
        <v>65000</v>
      </c>
      <c r="F122" s="133">
        <v>-77315</v>
      </c>
      <c r="G122" s="133">
        <v>-85000</v>
      </c>
      <c r="H122" s="133">
        <v>-7685</v>
      </c>
    </row>
    <row r="123" spans="1:8" x14ac:dyDescent="0.25">
      <c r="A123" s="129" t="s">
        <v>161</v>
      </c>
      <c r="B123" s="131"/>
      <c r="C123" s="131"/>
      <c r="D123" s="131"/>
      <c r="E123" s="131"/>
      <c r="F123" s="131"/>
      <c r="G123" s="131"/>
      <c r="H123" s="131"/>
    </row>
    <row r="124" spans="1:8" x14ac:dyDescent="0.25">
      <c r="A124" s="130" t="s">
        <v>43</v>
      </c>
      <c r="B124" s="131">
        <v>-190400</v>
      </c>
      <c r="C124" s="131">
        <v>0</v>
      </c>
      <c r="D124" s="131">
        <v>393195</v>
      </c>
      <c r="E124" s="131">
        <v>0</v>
      </c>
      <c r="F124" s="131">
        <v>202795</v>
      </c>
      <c r="G124" s="131">
        <v>0</v>
      </c>
      <c r="H124" s="131">
        <v>-202795</v>
      </c>
    </row>
    <row r="125" spans="1:8" x14ac:dyDescent="0.25">
      <c r="A125" s="130" t="s">
        <v>190</v>
      </c>
      <c r="B125" s="131">
        <v>0</v>
      </c>
      <c r="C125" s="131">
        <v>-97000</v>
      </c>
      <c r="D125" s="131">
        <v>0</v>
      </c>
      <c r="E125" s="131">
        <v>0</v>
      </c>
      <c r="F125" s="131">
        <v>0</v>
      </c>
      <c r="G125" s="131">
        <v>-97000</v>
      </c>
      <c r="H125" s="131">
        <v>-97000</v>
      </c>
    </row>
    <row r="126" spans="1:8" x14ac:dyDescent="0.25">
      <c r="A126" s="130" t="s">
        <v>189</v>
      </c>
      <c r="B126" s="131">
        <v>0</v>
      </c>
      <c r="C126" s="131">
        <v>0</v>
      </c>
      <c r="D126" s="131">
        <v>0</v>
      </c>
      <c r="E126" s="131">
        <v>97000</v>
      </c>
      <c r="F126" s="131">
        <v>0</v>
      </c>
      <c r="G126" s="131">
        <v>97000</v>
      </c>
      <c r="H126" s="131">
        <v>97000</v>
      </c>
    </row>
    <row r="127" spans="1:8" x14ac:dyDescent="0.25">
      <c r="A127" s="132" t="s">
        <v>29</v>
      </c>
      <c r="B127" s="133">
        <v>-190400</v>
      </c>
      <c r="C127" s="133">
        <v>-97000</v>
      </c>
      <c r="D127" s="133">
        <v>393195</v>
      </c>
      <c r="E127" s="133">
        <v>97000</v>
      </c>
      <c r="F127" s="133">
        <v>202795</v>
      </c>
      <c r="G127" s="133">
        <v>0</v>
      </c>
      <c r="H127" s="133">
        <v>-202795</v>
      </c>
    </row>
    <row r="128" spans="1:8" x14ac:dyDescent="0.25">
      <c r="A128" s="129" t="s">
        <v>162</v>
      </c>
      <c r="B128" s="131"/>
      <c r="C128" s="131"/>
      <c r="D128" s="131"/>
      <c r="E128" s="131"/>
      <c r="F128" s="131"/>
      <c r="G128" s="131"/>
      <c r="H128" s="131"/>
    </row>
    <row r="129" spans="1:8" x14ac:dyDescent="0.25">
      <c r="A129" s="130" t="s">
        <v>54</v>
      </c>
      <c r="B129" s="131">
        <v>0</v>
      </c>
      <c r="C129" s="131">
        <v>0</v>
      </c>
      <c r="D129" s="131">
        <v>103941</v>
      </c>
      <c r="E129" s="131">
        <v>0</v>
      </c>
      <c r="F129" s="131">
        <v>103941</v>
      </c>
      <c r="G129" s="131">
        <v>0</v>
      </c>
      <c r="H129" s="131">
        <v>-103941</v>
      </c>
    </row>
    <row r="130" spans="1:8" x14ac:dyDescent="0.25">
      <c r="A130" s="130" t="s">
        <v>55</v>
      </c>
      <c r="B130" s="131">
        <v>0</v>
      </c>
      <c r="C130" s="131">
        <v>0</v>
      </c>
      <c r="D130" s="131">
        <v>1690</v>
      </c>
      <c r="E130" s="131">
        <v>0</v>
      </c>
      <c r="F130" s="131">
        <v>1690</v>
      </c>
      <c r="G130" s="131">
        <v>0</v>
      </c>
      <c r="H130" s="131">
        <v>-1690</v>
      </c>
    </row>
    <row r="131" spans="1:8" x14ac:dyDescent="0.25">
      <c r="A131" s="132" t="s">
        <v>29</v>
      </c>
      <c r="B131" s="133">
        <v>0</v>
      </c>
      <c r="C131" s="133">
        <v>0</v>
      </c>
      <c r="D131" s="133">
        <v>105631</v>
      </c>
      <c r="E131" s="133">
        <v>0</v>
      </c>
      <c r="F131" s="133">
        <v>105631</v>
      </c>
      <c r="G131" s="133">
        <v>0</v>
      </c>
      <c r="H131" s="133">
        <v>-105631</v>
      </c>
    </row>
    <row r="132" spans="1:8" x14ac:dyDescent="0.25">
      <c r="A132" s="129" t="s">
        <v>163</v>
      </c>
      <c r="B132" s="131"/>
      <c r="C132" s="131"/>
      <c r="D132" s="131"/>
      <c r="E132" s="131"/>
      <c r="F132" s="131"/>
      <c r="G132" s="131"/>
      <c r="H132" s="131"/>
    </row>
    <row r="133" spans="1:8" x14ac:dyDescent="0.25">
      <c r="A133" s="130" t="s">
        <v>198</v>
      </c>
      <c r="B133" s="131">
        <v>0</v>
      </c>
      <c r="C133" s="131">
        <v>0</v>
      </c>
      <c r="D133" s="131">
        <v>48270</v>
      </c>
      <c r="E133" s="131">
        <v>0</v>
      </c>
      <c r="F133" s="131">
        <v>48270</v>
      </c>
      <c r="G133" s="131">
        <v>0</v>
      </c>
      <c r="H133" s="131">
        <v>-48270</v>
      </c>
    </row>
    <row r="134" spans="1:8" x14ac:dyDescent="0.25">
      <c r="A134" s="132" t="s">
        <v>29</v>
      </c>
      <c r="B134" s="133">
        <v>0</v>
      </c>
      <c r="C134" s="133">
        <v>0</v>
      </c>
      <c r="D134" s="133">
        <v>48270</v>
      </c>
      <c r="E134" s="133">
        <v>0</v>
      </c>
      <c r="F134" s="133">
        <v>48270</v>
      </c>
      <c r="G134" s="133">
        <v>0</v>
      </c>
      <c r="H134" s="133">
        <v>-48270</v>
      </c>
    </row>
    <row r="135" spans="1:8" x14ac:dyDescent="0.25">
      <c r="A135" s="129" t="s">
        <v>164</v>
      </c>
      <c r="B135" s="131"/>
      <c r="C135" s="131"/>
      <c r="D135" s="131"/>
      <c r="E135" s="131"/>
      <c r="F135" s="131"/>
      <c r="G135" s="131"/>
      <c r="H135" s="131"/>
    </row>
    <row r="136" spans="1:8" x14ac:dyDescent="0.25">
      <c r="A136" s="130" t="s">
        <v>54</v>
      </c>
      <c r="B136" s="131">
        <v>0</v>
      </c>
      <c r="C136" s="131">
        <v>0</v>
      </c>
      <c r="D136" s="131">
        <v>1690</v>
      </c>
      <c r="E136" s="131">
        <v>0</v>
      </c>
      <c r="F136" s="131">
        <v>1690</v>
      </c>
      <c r="G136" s="131">
        <v>0</v>
      </c>
      <c r="H136" s="131">
        <v>-1690</v>
      </c>
    </row>
    <row r="137" spans="1:8" x14ac:dyDescent="0.25">
      <c r="A137" s="130" t="s">
        <v>55</v>
      </c>
      <c r="B137" s="131">
        <v>0</v>
      </c>
      <c r="C137" s="131">
        <v>0</v>
      </c>
      <c r="D137" s="131">
        <v>655762</v>
      </c>
      <c r="E137" s="131">
        <v>0</v>
      </c>
      <c r="F137" s="131">
        <v>655762</v>
      </c>
      <c r="G137" s="131">
        <v>0</v>
      </c>
      <c r="H137" s="131">
        <v>-655762</v>
      </c>
    </row>
    <row r="138" spans="1:8" x14ac:dyDescent="0.25">
      <c r="A138" s="130" t="s">
        <v>146</v>
      </c>
      <c r="B138" s="131">
        <v>0</v>
      </c>
      <c r="C138" s="131">
        <v>0</v>
      </c>
      <c r="D138" s="131">
        <v>0</v>
      </c>
      <c r="E138" s="131">
        <v>0</v>
      </c>
      <c r="F138" s="131">
        <v>0</v>
      </c>
      <c r="G138" s="131">
        <v>0</v>
      </c>
      <c r="H138" s="131">
        <v>0</v>
      </c>
    </row>
    <row r="139" spans="1:8" x14ac:dyDescent="0.25">
      <c r="A139" s="132" t="s">
        <v>29</v>
      </c>
      <c r="B139" s="133">
        <v>0</v>
      </c>
      <c r="C139" s="133">
        <v>0</v>
      </c>
      <c r="D139" s="133">
        <v>657452</v>
      </c>
      <c r="E139" s="133">
        <v>0</v>
      </c>
      <c r="F139" s="133">
        <v>657452</v>
      </c>
      <c r="G139" s="133">
        <v>0</v>
      </c>
      <c r="H139" s="133">
        <v>-657452</v>
      </c>
    </row>
    <row r="140" spans="1:8" x14ac:dyDescent="0.25">
      <c r="A140" s="129" t="s">
        <v>175</v>
      </c>
      <c r="B140" s="131"/>
      <c r="C140" s="131"/>
      <c r="D140" s="131"/>
      <c r="E140" s="131"/>
      <c r="F140" s="131"/>
      <c r="G140" s="131"/>
      <c r="H140" s="131"/>
    </row>
    <row r="141" spans="1:8" x14ac:dyDescent="0.25">
      <c r="A141" s="130" t="s">
        <v>132</v>
      </c>
      <c r="B141" s="131">
        <v>0</v>
      </c>
      <c r="C141" s="131">
        <v>0</v>
      </c>
      <c r="D141" s="131">
        <v>31250</v>
      </c>
      <c r="E141" s="131">
        <v>0</v>
      </c>
      <c r="F141" s="131">
        <v>31250</v>
      </c>
      <c r="G141" s="131">
        <v>0</v>
      </c>
      <c r="H141" s="131">
        <v>-31250</v>
      </c>
    </row>
    <row r="142" spans="1:8" x14ac:dyDescent="0.25">
      <c r="A142" s="132" t="s">
        <v>29</v>
      </c>
      <c r="B142" s="133">
        <v>0</v>
      </c>
      <c r="C142" s="133">
        <v>0</v>
      </c>
      <c r="D142" s="133">
        <v>31250</v>
      </c>
      <c r="E142" s="133">
        <v>0</v>
      </c>
      <c r="F142" s="133">
        <v>31250</v>
      </c>
      <c r="G142" s="133">
        <v>0</v>
      </c>
      <c r="H142" s="133">
        <v>-31250</v>
      </c>
    </row>
    <row r="143" spans="1:8" x14ac:dyDescent="0.25">
      <c r="A143" s="132" t="s">
        <v>12</v>
      </c>
      <c r="B143" s="133">
        <v>-7910554</v>
      </c>
      <c r="C143" s="133">
        <v>-7140000</v>
      </c>
      <c r="D143" s="133">
        <v>8062217</v>
      </c>
      <c r="E143" s="133">
        <v>6951000</v>
      </c>
      <c r="F143" s="133">
        <v>151663</v>
      </c>
      <c r="G143" s="133">
        <v>-189000</v>
      </c>
      <c r="H143" s="133">
        <v>-340663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1CC7-606A-4183-8C81-2BCD9EA49EA4}">
  <dimension ref="A3:B6"/>
  <sheetViews>
    <sheetView workbookViewId="0">
      <selection activeCell="F30" sqref="F30"/>
    </sheetView>
  </sheetViews>
  <sheetFormatPr baseColWidth="10" defaultRowHeight="15" x14ac:dyDescent="0.25"/>
  <sheetData>
    <row r="3" spans="1:2" ht="15.75" x14ac:dyDescent="0.25">
      <c r="A3" s="30" t="s">
        <v>27</v>
      </c>
      <c r="B3" s="22"/>
    </row>
    <row r="4" spans="1:2" ht="15.75" x14ac:dyDescent="0.25">
      <c r="A4" s="30" t="s">
        <v>25</v>
      </c>
      <c r="B4" s="22">
        <v>-22500</v>
      </c>
    </row>
    <row r="5" spans="1:2" ht="15.75" x14ac:dyDescent="0.25">
      <c r="A5" s="22" t="s">
        <v>26</v>
      </c>
      <c r="B5" s="39">
        <v>-154688</v>
      </c>
    </row>
    <row r="6" spans="1:2" ht="15.75" x14ac:dyDescent="0.25">
      <c r="A6" s="22"/>
      <c r="B6" s="22">
        <f>SUM(B4:B5)</f>
        <v>-177188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BFBDB995896F4C9C97DB07F4875108" ma:contentTypeVersion="13" ma:contentTypeDescription="Opprett et nytt dokument." ma:contentTypeScope="" ma:versionID="58be210fba2fb401e30f803adb5cb93e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ad988ae0-45a6-44da-89f5-9374662a19fb" targetNamespace="http://schemas.microsoft.com/office/2006/metadata/properties" ma:root="true" ma:fieldsID="5c2ae9103f3539d598c3540947dac8c0" ns2:_="" ns4:_="" ns5:_="">
    <xsd:import namespace="ea08695c-71a6-424d-b494-0382f1cd8949"/>
    <xsd:import namespace="712f3002-266e-4d4e-9ea1-b15283d2fba1"/>
    <xsd:import namespace="ad988ae0-45a6-44da-89f5-9374662a19fb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88ae0-45a6-44da-89f5-9374662a19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Oslo Skikrets</TermName>
          <TermId xmlns="http://schemas.microsoft.com/office/infopath/2007/PartnerControls">7807bbf4-b6ce-4701-8399-99f4e934f678</TermId>
        </TermInfo>
      </Terms>
    </d22229a14cba4c45b75955f9fd950afc>
    <TaxCatchAll xmlns="ea08695c-71a6-424d-b494-0382f1cd8949">
      <Value>38</Value>
      <Value>37</Value>
    </TaxCatchAll>
    <gb40dc7f2b9d47e88655990f6f9f4134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Økonomi</TermName>
          <TermId xmlns="http://schemas.microsoft.com/office/infopath/2007/PartnerControls">4bf6acd5-d67f-4a65-9ccb-2a065eeb8530</TermId>
        </TermInfo>
      </Terms>
    </gb40dc7f2b9d47e88655990f6f9f4134>
    <d03e5549500345819f98d8dbc49daa6e xmlns="ea08695c-71a6-424d-b494-0382f1cd8949">
      <Terms xmlns="http://schemas.microsoft.com/office/infopath/2007/PartnerControls"/>
    </d03e5549500345819f98d8dbc49daa6e>
  </documentManagement>
</p:properties>
</file>

<file path=customXml/itemProps1.xml><?xml version="1.0" encoding="utf-8"?>
<ds:datastoreItem xmlns:ds="http://schemas.openxmlformats.org/officeDocument/2006/customXml" ds:itemID="{6834841D-8076-41F7-8638-C1FBDEF9D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ad988ae0-45a6-44da-89f5-9374662a1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63FA1D-3C7F-44FB-AF44-5F1490F73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16EEF-3D38-428A-8DE5-0CF159139D7E}">
  <ds:schemaRefs>
    <ds:schemaRef ds:uri="http://purl.org/dc/terms/"/>
    <ds:schemaRef ds:uri="http://schemas.openxmlformats.org/package/2006/metadata/core-properties"/>
    <ds:schemaRef ds:uri="ea08695c-71a6-424d-b494-0382f1cd894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988ae0-45a6-44da-89f5-9374662a19fb"/>
    <ds:schemaRef ds:uri="712f3002-266e-4d4e-9ea1-b15283d2fba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</vt:i4>
      </vt:variant>
    </vt:vector>
  </HeadingPairs>
  <TitlesOfParts>
    <vt:vector size="10" baseType="lpstr">
      <vt:lpstr>Avedlingsrapport2018</vt:lpstr>
      <vt:lpstr>Forside</vt:lpstr>
      <vt:lpstr>Resultatregnskap</vt:lpstr>
      <vt:lpstr>Noter 2019</vt:lpstr>
      <vt:lpstr>Balanse2019</vt:lpstr>
      <vt:lpstr>Presentasjon 2019</vt:lpstr>
      <vt:lpstr>Fordeling 2019</vt:lpstr>
      <vt:lpstr>avdelingsrapport2019</vt:lpstr>
      <vt:lpstr>Støtte regneark</vt:lpstr>
      <vt:lpstr>'Fordeling 2019'!Utskriftsområde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us-tovi</dc:creator>
  <cp:lastModifiedBy>Toril Vik</cp:lastModifiedBy>
  <cp:lastPrinted>2019-05-23T08:09:15Z</cp:lastPrinted>
  <dcterms:created xsi:type="dcterms:W3CDTF">2010-05-17T19:38:41Z</dcterms:created>
  <dcterms:modified xsi:type="dcterms:W3CDTF">2020-10-27T06:43:29Z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0x010100A7BFBDB995896F4C9C97DB07F4875108</vt:lpwstr>
  </property>
  <property fmtid="{D5CDD505-2E9C-101B-9397-08002B2CF9AE}" pid="3" name="Dokumenttype">
    <vt:lpwstr/>
  </property>
  <property fmtid="{D5CDD505-2E9C-101B-9397-08002B2CF9AE}" pid="4" name="NSF_kategori">
    <vt:lpwstr>38;#Økonomi|4bf6acd5-d67f-4a65-9ccb-2a065eeb8530</vt:lpwstr>
  </property>
  <property fmtid="{D5CDD505-2E9C-101B-9397-08002B2CF9AE}" pid="5" name="Krets">
    <vt:lpwstr>37;#Oslo Skikrets|7807bbf4-b6ce-4701-8399-99f4e934f678</vt:lpwstr>
  </property>
  <property fmtid="{D5CDD505-2E9C-101B-9397-08002B2CF9AE}" pid="6" name="arGren">
    <vt:lpwstr/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Toril.Vik@skiforbundet.no</vt:lpwstr>
  </property>
  <property fmtid="{D5CDD505-2E9C-101B-9397-08002B2CF9AE}" pid="10" name="MSIP_Label_5f1f2f09-5496-42b2-b354-435da9be0154_SetDate">
    <vt:lpwstr>2020-10-26T17:59:04.0083076Z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ActionId">
    <vt:lpwstr>aa7af644-b06a-457c-b1a5-864c16d2ffb8</vt:lpwstr>
  </property>
  <property fmtid="{D5CDD505-2E9C-101B-9397-08002B2CF9AE}" pid="14" name="MSIP_Label_5f1f2f09-5496-42b2-b354-435da9be0154_Extended_MSFT_Method">
    <vt:lpwstr>Automatic</vt:lpwstr>
  </property>
  <property fmtid="{D5CDD505-2E9C-101B-9397-08002B2CF9AE}" pid="15" name="Sensitivity">
    <vt:lpwstr>Lav</vt:lpwstr>
  </property>
</Properties>
</file>