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240" activeTab="1"/>
  </bookViews>
  <sheets>
    <sheet name="Kostnadsoverslag" sheetId="1" r:id="rId1"/>
    <sheet name="Finansieringsplan" sheetId="2" r:id="rId2"/>
    <sheet name="Driftsplan" sheetId="3" r:id="rId3"/>
  </sheets>
  <definedNames>
    <definedName name="_xlnm.Print_Area" localSheetId="0">'Kostnadsoverslag'!$A$1:$L$77</definedName>
  </definedNames>
  <calcPr fullCalcOnLoad="1"/>
</workbook>
</file>

<file path=xl/sharedStrings.xml><?xml version="1.0" encoding="utf-8"?>
<sst xmlns="http://schemas.openxmlformats.org/spreadsheetml/2006/main" count="226" uniqueCount="171">
  <si>
    <t>Enh.Pr.</t>
  </si>
  <si>
    <t>SUM</t>
  </si>
  <si>
    <t>Post</t>
  </si>
  <si>
    <t>Beskrivelse</t>
  </si>
  <si>
    <t>Enh.</t>
  </si>
  <si>
    <t>Mengde</t>
  </si>
  <si>
    <t>Matr.</t>
  </si>
  <si>
    <t>Arb.</t>
  </si>
  <si>
    <t>Materiell</t>
  </si>
  <si>
    <t>Arbeid</t>
  </si>
  <si>
    <t xml:space="preserve"> tot. verdi</t>
  </si>
  <si>
    <t>SUM KAP.</t>
  </si>
  <si>
    <t>7.0.0</t>
  </si>
  <si>
    <t>RIGGING</t>
  </si>
  <si>
    <t>7.0.1</t>
  </si>
  <si>
    <t>Transportrigg for maskiner</t>
  </si>
  <si>
    <t>RS</t>
  </si>
  <si>
    <t>7.1.0</t>
  </si>
  <si>
    <t>GRAVING/FYLLING/PLANERING</t>
  </si>
  <si>
    <t>7.1.1</t>
  </si>
  <si>
    <t>Fjerning av masser før graving for rørtrasé.</t>
  </si>
  <si>
    <t>m2</t>
  </si>
  <si>
    <t>7.1.2</t>
  </si>
  <si>
    <t>Fjerning av masser før graving for kummer.</t>
  </si>
  <si>
    <t>7.1.3</t>
  </si>
  <si>
    <t>Istandsetting av plenarealer etter grøftegraving. B=4m</t>
  </si>
  <si>
    <t>7.1.4</t>
  </si>
  <si>
    <t>Bøting av asfalt etter graving</t>
  </si>
  <si>
    <t>SUM GRAVEARBEIDER</t>
  </si>
  <si>
    <t>7.2.0</t>
  </si>
  <si>
    <t>GRØFTER</t>
  </si>
  <si>
    <t>7.2.1</t>
  </si>
  <si>
    <t>Sprenging av grøft for ledninger i bakken.  Inkl. gjennfylling.</t>
  </si>
  <si>
    <t>lm</t>
  </si>
  <si>
    <t>7.2.2</t>
  </si>
  <si>
    <t>Graving av grøft for ledninger i bakken. Inkl. gjennfylling.</t>
  </si>
  <si>
    <t>7.2.3</t>
  </si>
  <si>
    <t>Sprenging for kummer i bakken</t>
  </si>
  <si>
    <t>stk</t>
  </si>
  <si>
    <t>7.2.4</t>
  </si>
  <si>
    <t>Graving for kummer i bakken</t>
  </si>
  <si>
    <t>7.2.5</t>
  </si>
  <si>
    <t>7.2.6</t>
  </si>
  <si>
    <t>Kryssing av eksisterende kabler og rør.</t>
  </si>
  <si>
    <t>SUM GRØFTEARBEIDER</t>
  </si>
  <si>
    <t xml:space="preserve"> </t>
  </si>
  <si>
    <t>7.3.0</t>
  </si>
  <si>
    <t>LEDNINGER</t>
  </si>
  <si>
    <t>7.3.1</t>
  </si>
  <si>
    <t xml:space="preserve">Lev. og mont. av 4" vannledning for tilkobling til hovedvannsledning, </t>
  </si>
  <si>
    <t>inkl. sammenkobling. Føres fram til kum nr. 1.</t>
  </si>
  <si>
    <t>7.3.2</t>
  </si>
  <si>
    <t>Montering av trykkledninger i bakken.</t>
  </si>
  <si>
    <t>7.3.3</t>
  </si>
  <si>
    <t>Montering av drenerende kraner i kummer</t>
  </si>
  <si>
    <t>SUM LEDNINGSARBEIDER</t>
  </si>
  <si>
    <t>7.4.0</t>
  </si>
  <si>
    <t>KUMMER</t>
  </si>
  <si>
    <t>7.4.2</t>
  </si>
  <si>
    <t xml:space="preserve">Levering og montering av kummer for tilkobling av snøkanon, </t>
  </si>
  <si>
    <t>samt for EL-skap og pumpe.</t>
  </si>
  <si>
    <t>SUM KUMARBEIDER</t>
  </si>
  <si>
    <t>7.5.0</t>
  </si>
  <si>
    <t>EL-ARBEIDER</t>
  </si>
  <si>
    <t>7.5.1</t>
  </si>
  <si>
    <t>Overslag installasjonsmateriell,som nedenfor beskrevet :</t>
  </si>
  <si>
    <t>EL-fordelingsskap, 23A</t>
  </si>
  <si>
    <t>Hovedkabel til skap, tilførsel.</t>
  </si>
  <si>
    <t>Kabel for snøkanon til stikk-kontakter v/alle kummer</t>
  </si>
  <si>
    <t>Sikringsfordeling</t>
  </si>
  <si>
    <t>Stikkontakter ved hvert vannuttak.</t>
  </si>
  <si>
    <t>Bevegelig ledning for snøkanon.</t>
  </si>
  <si>
    <t>Kabel lavspenning</t>
  </si>
  <si>
    <t>Grøftekostnader</t>
  </si>
  <si>
    <t>SUM EL-ARBEIDER</t>
  </si>
  <si>
    <t>7.6.0</t>
  </si>
  <si>
    <t>7.6.1</t>
  </si>
  <si>
    <t xml:space="preserve">Snøproduksjonsanlegg, inkl. snøkanon, pumpe, trykkledninger, </t>
  </si>
  <si>
    <t>SUM  DIV. ANNET UTSTYR</t>
  </si>
  <si>
    <t>Avrunding</t>
  </si>
  <si>
    <t>SUM ENTREPRISEKOSTNAD</t>
  </si>
  <si>
    <t>8.0</t>
  </si>
  <si>
    <t>9.0</t>
  </si>
  <si>
    <t>Spesielle kostnader :</t>
  </si>
  <si>
    <t>9.1</t>
  </si>
  <si>
    <t>9.2</t>
  </si>
  <si>
    <t>Finans 10% i 5mnd.</t>
  </si>
  <si>
    <t>PROSJEKTKOSTNAD</t>
  </si>
  <si>
    <t>10.0</t>
  </si>
  <si>
    <t>Margin/reserver 5%</t>
  </si>
  <si>
    <t>BUDSJETT</t>
  </si>
  <si>
    <t>Prisene baserer seg på enhetspriser fra sammenlignbare prosjekter justert til dagens prisnivå.</t>
  </si>
  <si>
    <t>Entreprenør</t>
  </si>
  <si>
    <t>A</t>
  </si>
  <si>
    <t>B</t>
  </si>
  <si>
    <t>C</t>
  </si>
  <si>
    <t>D</t>
  </si>
  <si>
    <t>E=A+C</t>
  </si>
  <si>
    <t>G=E+F+B+D</t>
  </si>
  <si>
    <t>MATERIELL</t>
  </si>
  <si>
    <t>ARBEID</t>
  </si>
  <si>
    <t>SAMLA KOSTN.</t>
  </si>
  <si>
    <t>Kostnadstype</t>
  </si>
  <si>
    <t>Herav Kjøp</t>
  </si>
  <si>
    <t>Rabatt</t>
  </si>
  <si>
    <t>Dugnad</t>
  </si>
  <si>
    <t>Kjøp</t>
  </si>
  <si>
    <t>MVA</t>
  </si>
  <si>
    <t>Inkl. mva.</t>
  </si>
  <si>
    <t>FELLESKOSTNADER (Rigg etc.)</t>
  </si>
  <si>
    <t>GRAVING, FYLLING PLANERING</t>
  </si>
  <si>
    <t>GENERELLE KOSTNADER</t>
  </si>
  <si>
    <t>BYGGELÅNSRENTE</t>
  </si>
  <si>
    <t>MARGIN RESERVER</t>
  </si>
  <si>
    <t>SUM STØNADSBERETTIGET BELØP</t>
  </si>
  <si>
    <t>Nettstasjon kiosk (400V Trafo)</t>
  </si>
  <si>
    <t>DIVERSE ANNET UTSTYR</t>
  </si>
  <si>
    <t>Egenkapital</t>
  </si>
  <si>
    <t>Kommunal støtte</t>
  </si>
  <si>
    <t>Private tilskudd, sponsorstøtte, innsamlede midler.</t>
  </si>
  <si>
    <t>Lån</t>
  </si>
  <si>
    <t>Dugnad/rabatter</t>
  </si>
  <si>
    <t>KOSTNADSRAMME</t>
  </si>
  <si>
    <t>Inntekter</t>
  </si>
  <si>
    <t>Utgifter</t>
  </si>
  <si>
    <t>90 driftsdager med gjennomsnittlig 40 pers./dag. Dagskort a´kr 35,-</t>
  </si>
  <si>
    <t>Salg av kioskvarer + kaffesalg. 90 dager 40 pers./dag, 20 kr pr. pers.</t>
  </si>
  <si>
    <t>Utgifter:</t>
  </si>
  <si>
    <t>Lav moms 7% (transp. personell i bakken)</t>
  </si>
  <si>
    <t>Drift og vedlikehold</t>
  </si>
  <si>
    <t>Veritas godkjenning</t>
  </si>
  <si>
    <t>Leie av tråkkemaskin</t>
  </si>
  <si>
    <t>Leie av grunn</t>
  </si>
  <si>
    <t>Innleid arbeidskraft til drift</t>
  </si>
  <si>
    <t>Diverse utgifter</t>
  </si>
  <si>
    <t>DRIFTSOVERSKUDD</t>
  </si>
  <si>
    <t>MVA 25%</t>
  </si>
  <si>
    <t>Eks. mva</t>
  </si>
  <si>
    <t>F=Ex25%</t>
  </si>
  <si>
    <t>Tilførselsgrøft for tilkobl. til hovedledning. Inkl. gjenfylling.</t>
  </si>
  <si>
    <t>Dokumenteres med kontoutskrift</t>
  </si>
  <si>
    <t>Dokumenteres med vedtak</t>
  </si>
  <si>
    <t>Dokumenteres</t>
  </si>
  <si>
    <t>Dokumenteres med tilsagn</t>
  </si>
  <si>
    <t>……………………………………………..</t>
  </si>
  <si>
    <t>KOSTNADSOVERSLAG</t>
  </si>
  <si>
    <t>Sakshaug 08.02.2013</t>
  </si>
  <si>
    <t>……………………………………………</t>
  </si>
  <si>
    <t xml:space="preserve">Spillemidler </t>
  </si>
  <si>
    <t>……………………………………………………………..</t>
  </si>
  <si>
    <t xml:space="preserve">FINANSIERINGSPLAN </t>
  </si>
  <si>
    <t>Dokumentasjon</t>
  </si>
  <si>
    <t xml:space="preserve">DRIFTSPLAN </t>
  </si>
  <si>
    <t>SØKNADSSUM = 1/3 av stønadsberettiget beløp, med beløp intill 700.000</t>
  </si>
  <si>
    <t>Dokumenteres med timeverksoversikt eller gavebrev/vedtak styre</t>
  </si>
  <si>
    <t>DUGNAD</t>
  </si>
  <si>
    <t>1/3 av godkjent søknadssum</t>
  </si>
  <si>
    <t>ANLEGG :  xxxxxx ALPINANLEGG</t>
  </si>
  <si>
    <t>PROSJEKT :  SNØPRODUKSJONSANLEGG i XXXXXX</t>
  </si>
  <si>
    <t>Sign</t>
  </si>
  <si>
    <t>…………………………………….</t>
  </si>
  <si>
    <t>Ingeniør, entreprenør , eller annen kvalifisert person</t>
  </si>
  <si>
    <t>xxxxxxxxxxxxxxxxx  08.02.2013</t>
  </si>
  <si>
    <t>PROSJEKT :  SNØPRODUKSJONSANLEGG I XXXXXXXX</t>
  </si>
  <si>
    <t>ANLEGG :  XXXXXXXX  ALPINANLEGG</t>
  </si>
  <si>
    <t>…………………………………………………………</t>
  </si>
  <si>
    <t>Leder Stiftelsen skitrekk i  xxxxxxxxxxxxxxx</t>
  </si>
  <si>
    <t>Leder xxxxxxxxxxxxx Idrettslag</t>
  </si>
  <si>
    <t>4 ventiler, oppbevaringscontainer, etc. ihht. tilbud fra xxxxxx AS</t>
  </si>
  <si>
    <t>Anleggskostnader linjeavdeling ihht. tilbud fra xxxxxx AS:</t>
  </si>
  <si>
    <t>Generelle kostnader (Planlegging, prosjektering)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</si>
</sst>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 * #,##0.000_ ;_ * \-#,##0.000_ ;_ * &quot;-&quot;??_ ;_ @_ "/>
    <numFmt numFmtId="170" formatCode="_ * #,##0.0000_ ;_ * \-#,##0.00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68" fontId="44" fillId="0" borderId="10" xfId="39" applyNumberFormat="1" applyFont="1" applyBorder="1" applyAlignment="1">
      <alignment/>
    </xf>
    <xf numFmtId="0" fontId="44" fillId="0" borderId="11" xfId="0" applyFont="1" applyBorder="1" applyAlignment="1">
      <alignment/>
    </xf>
    <xf numFmtId="168" fontId="44" fillId="0" borderId="11" xfId="39" applyNumberFormat="1" applyFont="1" applyBorder="1" applyAlignment="1">
      <alignment/>
    </xf>
    <xf numFmtId="168" fontId="44" fillId="0" borderId="0" xfId="39" applyNumberFormat="1" applyFont="1" applyAlignment="1">
      <alignment/>
    </xf>
    <xf numFmtId="0" fontId="44" fillId="0" borderId="12" xfId="0" applyFont="1" applyBorder="1" applyAlignment="1">
      <alignment/>
    </xf>
    <xf numFmtId="168" fontId="44" fillId="0" borderId="0" xfId="0" applyNumberFormat="1" applyFont="1" applyAlignment="1">
      <alignment/>
    </xf>
    <xf numFmtId="0" fontId="44" fillId="0" borderId="13" xfId="0" applyFont="1" applyBorder="1" applyAlignment="1">
      <alignment/>
    </xf>
    <xf numFmtId="168" fontId="44" fillId="0" borderId="13" xfId="39" applyNumberFormat="1" applyFont="1" applyBorder="1" applyAlignment="1">
      <alignment/>
    </xf>
    <xf numFmtId="168" fontId="44" fillId="0" borderId="14" xfId="39" applyNumberFormat="1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5" xfId="0" applyFont="1" applyBorder="1" applyAlignment="1">
      <alignment/>
    </xf>
    <xf numFmtId="168" fontId="44" fillId="0" borderId="15" xfId="39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168" fontId="44" fillId="0" borderId="19" xfId="39" applyNumberFormat="1" applyFont="1" applyBorder="1" applyAlignment="1">
      <alignment/>
    </xf>
    <xf numFmtId="168" fontId="44" fillId="0" borderId="20" xfId="39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33" borderId="24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0" fontId="43" fillId="33" borderId="26" xfId="0" applyFont="1" applyFill="1" applyBorder="1" applyAlignment="1">
      <alignment horizontal="right"/>
    </xf>
    <xf numFmtId="0" fontId="44" fillId="33" borderId="25" xfId="0" applyFont="1" applyFill="1" applyBorder="1" applyAlignment="1">
      <alignment/>
    </xf>
    <xf numFmtId="0" fontId="0" fillId="33" borderId="27" xfId="0" applyFill="1" applyBorder="1" applyAlignment="1">
      <alignment/>
    </xf>
    <xf numFmtId="0" fontId="45" fillId="33" borderId="28" xfId="0" applyFont="1" applyFill="1" applyBorder="1" applyAlignment="1">
      <alignment/>
    </xf>
    <xf numFmtId="0" fontId="45" fillId="33" borderId="26" xfId="0" applyFont="1" applyFill="1" applyBorder="1" applyAlignment="1">
      <alignment/>
    </xf>
    <xf numFmtId="0" fontId="45" fillId="33" borderId="29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33" borderId="30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31" xfId="0" applyFont="1" applyFill="1" applyBorder="1" applyAlignment="1">
      <alignment/>
    </xf>
    <xf numFmtId="0" fontId="46" fillId="33" borderId="32" xfId="0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6" fillId="33" borderId="34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35" xfId="0" applyFont="1" applyFill="1" applyBorder="1" applyAlignment="1">
      <alignment/>
    </xf>
    <xf numFmtId="0" fontId="46" fillId="33" borderId="36" xfId="0" applyFont="1" applyFill="1" applyBorder="1" applyAlignment="1">
      <alignment/>
    </xf>
    <xf numFmtId="0" fontId="46" fillId="33" borderId="37" xfId="0" applyFont="1" applyFill="1" applyBorder="1" applyAlignment="1">
      <alignment/>
    </xf>
    <xf numFmtId="0" fontId="46" fillId="33" borderId="20" xfId="0" applyFont="1" applyFill="1" applyBorder="1" applyAlignment="1">
      <alignment/>
    </xf>
    <xf numFmtId="0" fontId="46" fillId="33" borderId="38" xfId="0" applyFont="1" applyFill="1" applyBorder="1" applyAlignment="1">
      <alignment/>
    </xf>
    <xf numFmtId="0" fontId="46" fillId="33" borderId="39" xfId="0" applyFont="1" applyFill="1" applyBorder="1" applyAlignment="1">
      <alignment/>
    </xf>
    <xf numFmtId="0" fontId="47" fillId="0" borderId="10" xfId="0" applyFont="1" applyBorder="1" applyAlignment="1">
      <alignment/>
    </xf>
    <xf numFmtId="168" fontId="47" fillId="0" borderId="10" xfId="39" applyNumberFormat="1" applyFont="1" applyBorder="1" applyAlignment="1">
      <alignment/>
    </xf>
    <xf numFmtId="0" fontId="47" fillId="0" borderId="11" xfId="0" applyFont="1" applyBorder="1" applyAlignment="1">
      <alignment/>
    </xf>
    <xf numFmtId="168" fontId="47" fillId="0" borderId="11" xfId="39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40" xfId="0" applyFont="1" applyBorder="1" applyAlignment="1">
      <alignment/>
    </xf>
    <xf numFmtId="168" fontId="47" fillId="0" borderId="40" xfId="39" applyNumberFormat="1" applyFont="1" applyBorder="1" applyAlignment="1">
      <alignment/>
    </xf>
    <xf numFmtId="168" fontId="47" fillId="0" borderId="0" xfId="39" applyNumberFormat="1" applyFont="1" applyAlignment="1">
      <alignment/>
    </xf>
    <xf numFmtId="0" fontId="47" fillId="0" borderId="12" xfId="0" applyFont="1" applyBorder="1" applyAlignment="1">
      <alignment/>
    </xf>
    <xf numFmtId="168" fontId="47" fillId="0" borderId="22" xfId="39" applyNumberFormat="1" applyFont="1" applyBorder="1" applyAlignment="1">
      <alignment/>
    </xf>
    <xf numFmtId="14" fontId="47" fillId="0" borderId="0" xfId="0" applyNumberFormat="1" applyFont="1" applyAlignment="1">
      <alignment/>
    </xf>
    <xf numFmtId="168" fontId="47" fillId="33" borderId="14" xfId="39" applyNumberFormat="1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54">
      <selection activeCell="F82" sqref="F82"/>
    </sheetView>
  </sheetViews>
  <sheetFormatPr defaultColWidth="11.421875" defaultRowHeight="15"/>
  <cols>
    <col min="1" max="1" width="8.00390625" style="36" customWidth="1"/>
    <col min="2" max="2" width="99.8515625" style="36" bestFit="1" customWidth="1"/>
    <col min="3" max="3" width="7.7109375" style="36" bestFit="1" customWidth="1"/>
    <col min="4" max="4" width="12.00390625" style="36" bestFit="1" customWidth="1"/>
    <col min="5" max="5" width="12.8515625" style="36" bestFit="1" customWidth="1"/>
    <col min="6" max="6" width="11.7109375" style="36" bestFit="1" customWidth="1"/>
    <col min="7" max="7" width="13.8515625" style="36" bestFit="1" customWidth="1"/>
    <col min="8" max="8" width="12.8515625" style="36" bestFit="1" customWidth="1"/>
    <col min="9" max="9" width="14.421875" style="36" bestFit="1" customWidth="1"/>
    <col min="10" max="10" width="16.28125" style="36" bestFit="1" customWidth="1"/>
    <col min="11" max="11" width="13.8515625" style="36" bestFit="1" customWidth="1"/>
    <col min="12" max="12" width="14.8515625" style="36" bestFit="1" customWidth="1"/>
    <col min="13" max="13" width="29.7109375" style="36" customWidth="1"/>
    <col min="14" max="14" width="48.28125" style="36" customWidth="1"/>
    <col min="15" max="15" width="20.57421875" style="36" bestFit="1" customWidth="1"/>
    <col min="16" max="16" width="11.57421875" style="36" bestFit="1" customWidth="1"/>
    <col min="17" max="17" width="17.140625" style="36" bestFit="1" customWidth="1"/>
    <col min="18" max="18" width="12.8515625" style="36" bestFit="1" customWidth="1"/>
    <col min="19" max="19" width="15.140625" style="36" bestFit="1" customWidth="1"/>
    <col min="20" max="20" width="17.57421875" style="36" customWidth="1"/>
    <col min="21" max="21" width="25.28125" style="36" bestFit="1" customWidth="1"/>
    <col min="22" max="16384" width="11.421875" style="36" customWidth="1"/>
  </cols>
  <sheetData>
    <row r="1" spans="1:14" ht="20.25">
      <c r="A1" s="35" t="s">
        <v>158</v>
      </c>
      <c r="N1" s="35" t="s">
        <v>158</v>
      </c>
    </row>
    <row r="2" spans="1:14" ht="20.25">
      <c r="A2" s="35" t="s">
        <v>157</v>
      </c>
      <c r="N2" s="35" t="s">
        <v>157</v>
      </c>
    </row>
    <row r="3" spans="1:14" ht="20.25">
      <c r="A3" s="35"/>
      <c r="N3" s="35"/>
    </row>
    <row r="4" spans="1:14" ht="20.25">
      <c r="A4" s="35"/>
      <c r="N4" s="35"/>
    </row>
    <row r="5" spans="1:14" ht="20.25">
      <c r="A5" s="35"/>
      <c r="N5" s="35"/>
    </row>
    <row r="6" spans="1:14" ht="20.25">
      <c r="A6" s="35" t="s">
        <v>145</v>
      </c>
      <c r="N6" s="35" t="s">
        <v>145</v>
      </c>
    </row>
    <row r="7" ht="20.25">
      <c r="A7" s="35"/>
    </row>
    <row r="8" ht="21" thickBot="1">
      <c r="A8" s="35"/>
    </row>
    <row r="9" spans="1:21" ht="2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  <c r="N9" s="40"/>
      <c r="O9" s="38" t="s">
        <v>93</v>
      </c>
      <c r="P9" s="38" t="s">
        <v>94</v>
      </c>
      <c r="Q9" s="38" t="s">
        <v>95</v>
      </c>
      <c r="R9" s="38" t="s">
        <v>96</v>
      </c>
      <c r="S9" s="38" t="s">
        <v>97</v>
      </c>
      <c r="T9" s="38" t="s">
        <v>138</v>
      </c>
      <c r="U9" s="41" t="s">
        <v>98</v>
      </c>
    </row>
    <row r="10" spans="1:21" ht="20.25">
      <c r="A10" s="42"/>
      <c r="B10" s="43"/>
      <c r="C10" s="43"/>
      <c r="D10" s="43"/>
      <c r="E10" s="43" t="s">
        <v>0</v>
      </c>
      <c r="F10" s="43" t="s">
        <v>0</v>
      </c>
      <c r="G10" s="43"/>
      <c r="H10" s="43"/>
      <c r="I10" s="43" t="s">
        <v>1</v>
      </c>
      <c r="J10" s="43"/>
      <c r="K10" s="44" t="s">
        <v>104</v>
      </c>
      <c r="L10" s="45" t="s">
        <v>155</v>
      </c>
      <c r="N10" s="46"/>
      <c r="O10" s="43" t="s">
        <v>99</v>
      </c>
      <c r="P10" s="43"/>
      <c r="Q10" s="43" t="s">
        <v>100</v>
      </c>
      <c r="R10" s="43"/>
      <c r="S10" s="43" t="s">
        <v>1</v>
      </c>
      <c r="T10" s="43" t="s">
        <v>1</v>
      </c>
      <c r="U10" s="45" t="s">
        <v>101</v>
      </c>
    </row>
    <row r="11" spans="1:21" ht="21" thickBot="1">
      <c r="A11" s="47" t="s">
        <v>2</v>
      </c>
      <c r="B11" s="48" t="s">
        <v>3</v>
      </c>
      <c r="C11" s="48" t="s">
        <v>4</v>
      </c>
      <c r="D11" s="48" t="s">
        <v>5</v>
      </c>
      <c r="E11" s="48" t="s">
        <v>6</v>
      </c>
      <c r="F11" s="48" t="s">
        <v>7</v>
      </c>
      <c r="G11" s="48" t="s">
        <v>8</v>
      </c>
      <c r="H11" s="48" t="s">
        <v>9</v>
      </c>
      <c r="I11" s="48" t="s">
        <v>10</v>
      </c>
      <c r="J11" s="48" t="s">
        <v>11</v>
      </c>
      <c r="K11" s="49" t="s">
        <v>137</v>
      </c>
      <c r="L11" s="50" t="s">
        <v>137</v>
      </c>
      <c r="N11" s="47" t="s">
        <v>102</v>
      </c>
      <c r="O11" s="48" t="s">
        <v>103</v>
      </c>
      <c r="P11" s="48" t="s">
        <v>104</v>
      </c>
      <c r="Q11" s="48" t="s">
        <v>103</v>
      </c>
      <c r="R11" s="48" t="s">
        <v>105</v>
      </c>
      <c r="S11" s="48" t="s">
        <v>106</v>
      </c>
      <c r="T11" s="48" t="s">
        <v>107</v>
      </c>
      <c r="U11" s="50" t="s">
        <v>108</v>
      </c>
    </row>
    <row r="12" spans="1:21" ht="20.25">
      <c r="A12" s="51" t="s">
        <v>12</v>
      </c>
      <c r="B12" s="55" t="s">
        <v>13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N12" s="51" t="s">
        <v>109</v>
      </c>
      <c r="O12" s="52">
        <f>G13-P12</f>
        <v>0</v>
      </c>
      <c r="P12" s="52">
        <v>0</v>
      </c>
      <c r="Q12" s="52">
        <f>H13-R12</f>
        <v>8000</v>
      </c>
      <c r="R12" s="52">
        <f>L13</f>
        <v>2000</v>
      </c>
      <c r="S12" s="52">
        <f aca="true" t="shared" si="0" ref="S12:S18">O12+Q12</f>
        <v>8000</v>
      </c>
      <c r="T12" s="52">
        <f aca="true" t="shared" si="1" ref="T12:T18">S12*25%</f>
        <v>2000</v>
      </c>
      <c r="U12" s="52">
        <f aca="true" t="shared" si="2" ref="U12:U18">S12+T12+P12+R12</f>
        <v>12000</v>
      </c>
    </row>
    <row r="13" spans="1:21" ht="20.25">
      <c r="A13" s="51" t="s">
        <v>14</v>
      </c>
      <c r="B13" s="51" t="s">
        <v>15</v>
      </c>
      <c r="C13" s="51" t="s">
        <v>16</v>
      </c>
      <c r="D13" s="52">
        <v>1</v>
      </c>
      <c r="E13" s="52"/>
      <c r="F13" s="52">
        <v>10000</v>
      </c>
      <c r="G13" s="52"/>
      <c r="H13" s="52">
        <f>D13*F13</f>
        <v>10000</v>
      </c>
      <c r="I13" s="52">
        <f>G13+H13</f>
        <v>10000</v>
      </c>
      <c r="J13" s="52">
        <f>I13</f>
        <v>10000</v>
      </c>
      <c r="K13" s="52"/>
      <c r="L13" s="52">
        <f>2000</f>
        <v>2000</v>
      </c>
      <c r="N13" s="51" t="s">
        <v>110</v>
      </c>
      <c r="O13" s="52">
        <f>G20-P13</f>
        <v>4200</v>
      </c>
      <c r="P13" s="52">
        <f>J24</f>
        <v>0</v>
      </c>
      <c r="Q13" s="52">
        <f>H20-R13</f>
        <v>6350</v>
      </c>
      <c r="R13" s="52">
        <f>L20</f>
        <v>12850</v>
      </c>
      <c r="S13" s="52">
        <f t="shared" si="0"/>
        <v>10550</v>
      </c>
      <c r="T13" s="52">
        <f t="shared" si="1"/>
        <v>2637.5</v>
      </c>
      <c r="U13" s="52">
        <f t="shared" si="2"/>
        <v>26037.5</v>
      </c>
    </row>
    <row r="14" spans="1:21" ht="20.25">
      <c r="A14" s="51"/>
      <c r="B14" s="51"/>
      <c r="C14" s="51"/>
      <c r="D14" s="52"/>
      <c r="E14" s="52"/>
      <c r="F14" s="52"/>
      <c r="G14" s="52"/>
      <c r="H14" s="52"/>
      <c r="I14" s="52"/>
      <c r="J14" s="52"/>
      <c r="K14" s="52"/>
      <c r="L14" s="52"/>
      <c r="N14" s="51" t="s">
        <v>30</v>
      </c>
      <c r="O14" s="52">
        <f>G29-P14</f>
        <v>29420</v>
      </c>
      <c r="P14" s="52">
        <f>J31</f>
        <v>0</v>
      </c>
      <c r="Q14" s="52">
        <f>H29-R14</f>
        <v>71365</v>
      </c>
      <c r="R14" s="52">
        <f>L29</f>
        <v>20000</v>
      </c>
      <c r="S14" s="52">
        <f t="shared" si="0"/>
        <v>100785</v>
      </c>
      <c r="T14" s="52">
        <f t="shared" si="1"/>
        <v>25196.25</v>
      </c>
      <c r="U14" s="52">
        <f t="shared" si="2"/>
        <v>145981.25</v>
      </c>
    </row>
    <row r="15" spans="1:21" ht="20.25">
      <c r="A15" s="51" t="s">
        <v>17</v>
      </c>
      <c r="B15" s="55" t="s">
        <v>18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N15" s="51" t="s">
        <v>47</v>
      </c>
      <c r="O15" s="52">
        <f>G36-P15</f>
        <v>42000</v>
      </c>
      <c r="P15" s="52">
        <f>J34</f>
        <v>0</v>
      </c>
      <c r="Q15" s="52">
        <f>H36-R15</f>
        <v>21750</v>
      </c>
      <c r="R15" s="52">
        <f>L36</f>
        <v>10000</v>
      </c>
      <c r="S15" s="52">
        <f t="shared" si="0"/>
        <v>63750</v>
      </c>
      <c r="T15" s="52">
        <f t="shared" si="1"/>
        <v>15937.5</v>
      </c>
      <c r="U15" s="52">
        <f t="shared" si="2"/>
        <v>89687.5</v>
      </c>
    </row>
    <row r="16" spans="1:21" ht="20.25">
      <c r="A16" s="51" t="s">
        <v>19</v>
      </c>
      <c r="B16" s="51" t="s">
        <v>20</v>
      </c>
      <c r="C16" s="51" t="s">
        <v>21</v>
      </c>
      <c r="D16" s="52">
        <v>900</v>
      </c>
      <c r="E16" s="52"/>
      <c r="F16" s="52">
        <v>10</v>
      </c>
      <c r="G16" s="52">
        <f>D16*E16</f>
        <v>0</v>
      </c>
      <c r="H16" s="52">
        <f>D16*F16</f>
        <v>9000</v>
      </c>
      <c r="I16" s="52">
        <f>G16+H16</f>
        <v>9000</v>
      </c>
      <c r="J16" s="52"/>
      <c r="K16" s="52"/>
      <c r="L16" s="52"/>
      <c r="N16" s="51" t="s">
        <v>57</v>
      </c>
      <c r="O16" s="52">
        <f>G41</f>
        <v>34000</v>
      </c>
      <c r="P16" s="52">
        <f>J39</f>
        <v>0</v>
      </c>
      <c r="Q16" s="52">
        <f>H41-R16</f>
        <v>22000</v>
      </c>
      <c r="R16" s="52">
        <f>L36</f>
        <v>10000</v>
      </c>
      <c r="S16" s="52">
        <f t="shared" si="0"/>
        <v>56000</v>
      </c>
      <c r="T16" s="52">
        <f t="shared" si="1"/>
        <v>14000</v>
      </c>
      <c r="U16" s="52">
        <f t="shared" si="2"/>
        <v>80000</v>
      </c>
    </row>
    <row r="17" spans="1:21" ht="20.25">
      <c r="A17" s="51" t="s">
        <v>22</v>
      </c>
      <c r="B17" s="51" t="s">
        <v>23</v>
      </c>
      <c r="C17" s="51" t="s">
        <v>21</v>
      </c>
      <c r="D17" s="52">
        <v>40</v>
      </c>
      <c r="E17" s="52"/>
      <c r="F17" s="52">
        <v>10</v>
      </c>
      <c r="G17" s="52">
        <f>D17*E17</f>
        <v>0</v>
      </c>
      <c r="H17" s="52">
        <f>D17*F17</f>
        <v>400</v>
      </c>
      <c r="I17" s="52">
        <f>G17+H17</f>
        <v>400</v>
      </c>
      <c r="J17" s="52"/>
      <c r="K17" s="52"/>
      <c r="L17" s="52"/>
      <c r="N17" s="51" t="s">
        <v>63</v>
      </c>
      <c r="O17" s="52">
        <f>G55-P17</f>
        <v>227409</v>
      </c>
      <c r="P17" s="52">
        <f>J45</f>
        <v>0</v>
      </c>
      <c r="Q17" s="52">
        <f>H55-R17</f>
        <v>39685</v>
      </c>
      <c r="R17" s="52">
        <f>L55</f>
        <v>15000</v>
      </c>
      <c r="S17" s="52">
        <f t="shared" si="0"/>
        <v>267094</v>
      </c>
      <c r="T17" s="52">
        <f t="shared" si="1"/>
        <v>66773.5</v>
      </c>
      <c r="U17" s="52">
        <f t="shared" si="2"/>
        <v>348867.5</v>
      </c>
    </row>
    <row r="18" spans="1:21" ht="20.25">
      <c r="A18" s="51" t="s">
        <v>24</v>
      </c>
      <c r="B18" s="51" t="s">
        <v>25</v>
      </c>
      <c r="C18" s="51" t="s">
        <v>21</v>
      </c>
      <c r="D18" s="52">
        <v>800</v>
      </c>
      <c r="E18" s="52">
        <v>3</v>
      </c>
      <c r="F18" s="52">
        <v>10</v>
      </c>
      <c r="G18" s="52">
        <f>D18*E18</f>
        <v>2400</v>
      </c>
      <c r="H18" s="52">
        <f>D18*F18</f>
        <v>8000</v>
      </c>
      <c r="I18" s="52">
        <f>G18+H18</f>
        <v>10400</v>
      </c>
      <c r="J18" s="52"/>
      <c r="K18" s="52"/>
      <c r="L18" s="52"/>
      <c r="N18" s="53" t="s">
        <v>116</v>
      </c>
      <c r="O18" s="54">
        <f>G60</f>
        <v>450000</v>
      </c>
      <c r="P18" s="54">
        <f>K60</f>
        <v>10000</v>
      </c>
      <c r="Q18" s="54">
        <f>0</f>
        <v>0</v>
      </c>
      <c r="R18" s="54">
        <f>L60</f>
        <v>10000</v>
      </c>
      <c r="S18" s="54">
        <f t="shared" si="0"/>
        <v>450000</v>
      </c>
      <c r="T18" s="54">
        <f t="shared" si="1"/>
        <v>112500</v>
      </c>
      <c r="U18" s="54">
        <f t="shared" si="2"/>
        <v>582500</v>
      </c>
    </row>
    <row r="19" spans="1:21" ht="20.25">
      <c r="A19" s="51" t="s">
        <v>26</v>
      </c>
      <c r="B19" s="53" t="s">
        <v>27</v>
      </c>
      <c r="C19" s="53" t="s">
        <v>21</v>
      </c>
      <c r="D19" s="54">
        <v>30</v>
      </c>
      <c r="E19" s="54">
        <v>60</v>
      </c>
      <c r="F19" s="54">
        <v>60</v>
      </c>
      <c r="G19" s="54">
        <f>D19*E19</f>
        <v>1800</v>
      </c>
      <c r="H19" s="54">
        <f>D19*F19</f>
        <v>1800</v>
      </c>
      <c r="I19" s="54">
        <f>G19+H19</f>
        <v>3600</v>
      </c>
      <c r="J19" s="52"/>
      <c r="K19" s="52"/>
      <c r="L19" s="52"/>
      <c r="N19" s="55" t="s">
        <v>80</v>
      </c>
      <c r="O19" s="52">
        <f aca="true" t="shared" si="3" ref="O19:U19">SUM(O12:O18)</f>
        <v>787029</v>
      </c>
      <c r="P19" s="52">
        <f t="shared" si="3"/>
        <v>10000</v>
      </c>
      <c r="Q19" s="52">
        <f t="shared" si="3"/>
        <v>169150</v>
      </c>
      <c r="R19" s="52">
        <f t="shared" si="3"/>
        <v>79850</v>
      </c>
      <c r="S19" s="52">
        <f t="shared" si="3"/>
        <v>956179</v>
      </c>
      <c r="T19" s="52">
        <f t="shared" si="3"/>
        <v>239044.75</v>
      </c>
      <c r="U19" s="52">
        <f t="shared" si="3"/>
        <v>1285073.75</v>
      </c>
    </row>
    <row r="20" spans="1:21" ht="20.25">
      <c r="A20" s="51"/>
      <c r="B20" s="55" t="s">
        <v>28</v>
      </c>
      <c r="C20" s="51"/>
      <c r="D20" s="52"/>
      <c r="E20" s="52"/>
      <c r="F20" s="52"/>
      <c r="G20" s="52">
        <f>SUM(G16:G19)</f>
        <v>4200</v>
      </c>
      <c r="H20" s="52">
        <f>SUM(H16:H19)</f>
        <v>19200</v>
      </c>
      <c r="I20" s="52">
        <f>SUM(I16:I19)</f>
        <v>23400</v>
      </c>
      <c r="J20" s="52">
        <f>I20</f>
        <v>23400</v>
      </c>
      <c r="K20" s="52"/>
      <c r="L20" s="52">
        <v>12850</v>
      </c>
      <c r="N20" s="51" t="s">
        <v>111</v>
      </c>
      <c r="O20" s="52">
        <v>0</v>
      </c>
      <c r="P20" s="52">
        <v>0</v>
      </c>
      <c r="Q20" s="52">
        <f>H63</f>
        <v>50801.450000000004</v>
      </c>
      <c r="R20" s="52">
        <f>L63</f>
        <v>30000</v>
      </c>
      <c r="S20" s="52">
        <f>Q20-R20</f>
        <v>20801.450000000004</v>
      </c>
      <c r="T20" s="52">
        <f>S20*23%</f>
        <v>4784.333500000002</v>
      </c>
      <c r="U20" s="52">
        <f>S20+T20+P20+R20</f>
        <v>55585.783500000005</v>
      </c>
    </row>
    <row r="21" spans="1:21" ht="20.2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2"/>
      <c r="N21" s="51" t="s">
        <v>112</v>
      </c>
      <c r="O21" s="52">
        <f>E50</f>
        <v>110</v>
      </c>
      <c r="P21" s="52">
        <v>0</v>
      </c>
      <c r="Q21" s="52">
        <v>0</v>
      </c>
      <c r="R21" s="52">
        <f>I51</f>
        <v>0</v>
      </c>
      <c r="S21" s="52">
        <f>H51</f>
        <v>0</v>
      </c>
      <c r="T21" s="52">
        <v>0</v>
      </c>
      <c r="U21" s="52">
        <f>S21-R21</f>
        <v>0</v>
      </c>
    </row>
    <row r="22" spans="1:21" ht="20.25">
      <c r="A22" s="51" t="s">
        <v>29</v>
      </c>
      <c r="B22" s="55" t="s">
        <v>30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N22" s="53" t="s">
        <v>113</v>
      </c>
      <c r="O22" s="54">
        <f>E51</f>
        <v>0</v>
      </c>
      <c r="P22" s="54">
        <v>0</v>
      </c>
      <c r="Q22" s="54">
        <v>0</v>
      </c>
      <c r="R22" s="54">
        <v>0</v>
      </c>
      <c r="S22" s="54">
        <f>J68</f>
        <v>68704.02610677083</v>
      </c>
      <c r="T22" s="54">
        <v>0</v>
      </c>
      <c r="U22" s="54">
        <f>S22+T22</f>
        <v>68704.02610677083</v>
      </c>
    </row>
    <row r="23" spans="1:21" ht="20.25">
      <c r="A23" s="51" t="s">
        <v>31</v>
      </c>
      <c r="B23" s="51" t="s">
        <v>32</v>
      </c>
      <c r="C23" s="51" t="s">
        <v>33</v>
      </c>
      <c r="D23" s="52">
        <v>250</v>
      </c>
      <c r="E23" s="52">
        <v>60</v>
      </c>
      <c r="F23" s="52">
        <v>190</v>
      </c>
      <c r="G23" s="52">
        <f aca="true" t="shared" si="4" ref="G23:G28">D23*E23</f>
        <v>15000</v>
      </c>
      <c r="H23" s="52">
        <f aca="true" t="shared" si="5" ref="H23:H28">D23*F23</f>
        <v>47500</v>
      </c>
      <c r="I23" s="52">
        <f aca="true" t="shared" si="6" ref="I23:I28">G23+H23</f>
        <v>62500</v>
      </c>
      <c r="J23" s="52"/>
      <c r="K23" s="52"/>
      <c r="L23" s="52"/>
      <c r="N23" s="56" t="s">
        <v>90</v>
      </c>
      <c r="O23" s="57">
        <f aca="true" t="shared" si="7" ref="O23:T23">SUM(O19:O22)</f>
        <v>787139</v>
      </c>
      <c r="P23" s="57">
        <f>SUM(P19:P22)</f>
        <v>10000</v>
      </c>
      <c r="Q23" s="57">
        <f t="shared" si="7"/>
        <v>219951.45</v>
      </c>
      <c r="R23" s="57">
        <f>R22+R21+R20+R19</f>
        <v>109850</v>
      </c>
      <c r="S23" s="57">
        <f t="shared" si="7"/>
        <v>1045684.4761067708</v>
      </c>
      <c r="T23" s="57">
        <f t="shared" si="7"/>
        <v>243829.0835</v>
      </c>
      <c r="U23" s="57">
        <f>SUM(U19:U22)</f>
        <v>1409363.5596067708</v>
      </c>
    </row>
    <row r="24" spans="1:21" ht="20.25">
      <c r="A24" s="51" t="s">
        <v>34</v>
      </c>
      <c r="B24" s="51" t="s">
        <v>35</v>
      </c>
      <c r="C24" s="51" t="s">
        <v>33</v>
      </c>
      <c r="D24" s="52">
        <v>151</v>
      </c>
      <c r="E24" s="52">
        <v>20</v>
      </c>
      <c r="F24" s="52">
        <v>65</v>
      </c>
      <c r="G24" s="52">
        <f t="shared" si="4"/>
        <v>3020</v>
      </c>
      <c r="H24" s="52">
        <f t="shared" si="5"/>
        <v>9815</v>
      </c>
      <c r="I24" s="52">
        <f t="shared" si="6"/>
        <v>12835</v>
      </c>
      <c r="J24" s="52"/>
      <c r="K24" s="52"/>
      <c r="L24" s="52"/>
      <c r="N24" s="36" t="s">
        <v>114</v>
      </c>
      <c r="O24" s="58"/>
      <c r="P24" s="58"/>
      <c r="Q24" s="58"/>
      <c r="R24" s="58"/>
      <c r="S24" s="58"/>
      <c r="T24" s="58"/>
      <c r="U24" s="58">
        <f>U23</f>
        <v>1409363.5596067708</v>
      </c>
    </row>
    <row r="25" spans="1:12" ht="21" thickBot="1">
      <c r="A25" s="51" t="s">
        <v>36</v>
      </c>
      <c r="B25" s="51" t="s">
        <v>37</v>
      </c>
      <c r="C25" s="51" t="s">
        <v>38</v>
      </c>
      <c r="D25" s="52">
        <v>6</v>
      </c>
      <c r="E25" s="52">
        <v>400</v>
      </c>
      <c r="F25" s="52">
        <v>1200</v>
      </c>
      <c r="G25" s="52">
        <f t="shared" si="4"/>
        <v>2400</v>
      </c>
      <c r="H25" s="52">
        <f t="shared" si="5"/>
        <v>7200</v>
      </c>
      <c r="I25" s="52">
        <f t="shared" si="6"/>
        <v>9600</v>
      </c>
      <c r="J25" s="52"/>
      <c r="K25" s="52"/>
      <c r="L25" s="52"/>
    </row>
    <row r="26" spans="1:21" ht="21" thickBot="1">
      <c r="A26" s="51" t="s">
        <v>39</v>
      </c>
      <c r="B26" s="51" t="s">
        <v>40</v>
      </c>
      <c r="C26" s="51" t="s">
        <v>38</v>
      </c>
      <c r="D26" s="52">
        <v>6</v>
      </c>
      <c r="E26" s="52">
        <v>200</v>
      </c>
      <c r="F26" s="52">
        <v>800</v>
      </c>
      <c r="G26" s="52">
        <f t="shared" si="4"/>
        <v>1200</v>
      </c>
      <c r="H26" s="52">
        <f t="shared" si="5"/>
        <v>4800</v>
      </c>
      <c r="I26" s="52">
        <f t="shared" si="6"/>
        <v>6000</v>
      </c>
      <c r="J26" s="52"/>
      <c r="K26" s="52"/>
      <c r="L26" s="52"/>
      <c r="N26" s="36" t="s">
        <v>153</v>
      </c>
      <c r="U26" s="62">
        <f>U24/3</f>
        <v>469787.8532022569</v>
      </c>
    </row>
    <row r="27" spans="1:12" ht="20.25">
      <c r="A27" s="51" t="s">
        <v>41</v>
      </c>
      <c r="B27" s="51" t="s">
        <v>139</v>
      </c>
      <c r="C27" s="51" t="s">
        <v>33</v>
      </c>
      <c r="D27" s="52">
        <v>210</v>
      </c>
      <c r="E27" s="52">
        <v>20</v>
      </c>
      <c r="F27" s="52">
        <v>65</v>
      </c>
      <c r="G27" s="52">
        <f t="shared" si="4"/>
        <v>4200</v>
      </c>
      <c r="H27" s="52">
        <f t="shared" si="5"/>
        <v>13650</v>
      </c>
      <c r="I27" s="52">
        <f t="shared" si="6"/>
        <v>17850</v>
      </c>
      <c r="J27" s="52"/>
      <c r="K27" s="52"/>
      <c r="L27" s="52"/>
    </row>
    <row r="28" spans="1:14" ht="20.25">
      <c r="A28" s="51" t="s">
        <v>42</v>
      </c>
      <c r="B28" s="53" t="s">
        <v>43</v>
      </c>
      <c r="C28" s="53" t="s">
        <v>38</v>
      </c>
      <c r="D28" s="54">
        <v>12</v>
      </c>
      <c r="E28" s="54">
        <v>300</v>
      </c>
      <c r="F28" s="54">
        <v>700</v>
      </c>
      <c r="G28" s="54">
        <f t="shared" si="4"/>
        <v>3600</v>
      </c>
      <c r="H28" s="54">
        <f t="shared" si="5"/>
        <v>8400</v>
      </c>
      <c r="I28" s="54">
        <f t="shared" si="6"/>
        <v>12000</v>
      </c>
      <c r="J28" s="52"/>
      <c r="K28" s="52"/>
      <c r="L28" s="52"/>
      <c r="N28" s="61" t="s">
        <v>162</v>
      </c>
    </row>
    <row r="29" spans="1:14" ht="20.25">
      <c r="A29" s="51"/>
      <c r="B29" s="55" t="s">
        <v>44</v>
      </c>
      <c r="C29" s="51"/>
      <c r="D29" s="52"/>
      <c r="E29" s="52"/>
      <c r="F29" s="52"/>
      <c r="G29" s="52">
        <f>SUM(G23:G28)</f>
        <v>29420</v>
      </c>
      <c r="H29" s="52">
        <f>SUM(H23:H28)</f>
        <v>91365</v>
      </c>
      <c r="I29" s="52">
        <f>SUM(I23:I28)</f>
        <v>120785</v>
      </c>
      <c r="J29" s="52">
        <f>I29</f>
        <v>120785</v>
      </c>
      <c r="K29" s="52"/>
      <c r="L29" s="52">
        <v>20000</v>
      </c>
      <c r="N29" s="36" t="s">
        <v>45</v>
      </c>
    </row>
    <row r="30" spans="1:14" ht="20.25">
      <c r="A30" s="51"/>
      <c r="B30" s="51"/>
      <c r="C30" s="51"/>
      <c r="D30" s="52"/>
      <c r="E30" s="52"/>
      <c r="F30" s="52"/>
      <c r="G30" s="52"/>
      <c r="H30" s="52"/>
      <c r="I30" s="52"/>
      <c r="J30" s="52"/>
      <c r="K30" s="52"/>
      <c r="L30" s="52"/>
      <c r="N30" s="36" t="s">
        <v>160</v>
      </c>
    </row>
    <row r="31" spans="1:19" ht="20.25">
      <c r="A31" s="51" t="s">
        <v>46</v>
      </c>
      <c r="B31" s="55" t="s">
        <v>47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N31" s="36" t="s">
        <v>159</v>
      </c>
      <c r="S31" s="36" t="s">
        <v>144</v>
      </c>
    </row>
    <row r="32" spans="1:19" ht="20.25">
      <c r="A32" s="51" t="s">
        <v>48</v>
      </c>
      <c r="B32" s="51" t="s">
        <v>49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N32" s="36" t="s">
        <v>161</v>
      </c>
      <c r="S32" s="36" t="s">
        <v>92</v>
      </c>
    </row>
    <row r="33" spans="1:12" ht="20.25">
      <c r="A33" s="51"/>
      <c r="B33" s="51" t="s">
        <v>50</v>
      </c>
      <c r="C33" s="51" t="s">
        <v>33</v>
      </c>
      <c r="D33" s="52">
        <v>210</v>
      </c>
      <c r="E33" s="52">
        <v>200</v>
      </c>
      <c r="F33" s="52">
        <v>50</v>
      </c>
      <c r="G33" s="52">
        <f>D33*E33</f>
        <v>42000</v>
      </c>
      <c r="H33" s="52">
        <f>D33*F33</f>
        <v>10500</v>
      </c>
      <c r="I33" s="52">
        <f>G33+H33</f>
        <v>52500</v>
      </c>
      <c r="J33" s="52"/>
      <c r="K33" s="52"/>
      <c r="L33" s="52"/>
    </row>
    <row r="34" spans="1:12" ht="20.25">
      <c r="A34" s="51" t="s">
        <v>51</v>
      </c>
      <c r="B34" s="51" t="s">
        <v>52</v>
      </c>
      <c r="C34" s="51" t="s">
        <v>33</v>
      </c>
      <c r="D34" s="52">
        <v>401</v>
      </c>
      <c r="E34" s="52">
        <v>0</v>
      </c>
      <c r="F34" s="52">
        <v>50</v>
      </c>
      <c r="G34" s="52">
        <f>D34*E34</f>
        <v>0</v>
      </c>
      <c r="H34" s="52">
        <f>D34*F34</f>
        <v>20050</v>
      </c>
      <c r="I34" s="52">
        <f>G34+H34</f>
        <v>20050</v>
      </c>
      <c r="J34" s="52"/>
      <c r="K34" s="52"/>
      <c r="L34" s="52"/>
    </row>
    <row r="35" spans="1:12" ht="20.25">
      <c r="A35" s="51" t="s">
        <v>53</v>
      </c>
      <c r="B35" s="53" t="s">
        <v>54</v>
      </c>
      <c r="C35" s="53" t="s">
        <v>38</v>
      </c>
      <c r="D35" s="54">
        <v>6</v>
      </c>
      <c r="E35" s="54">
        <v>0</v>
      </c>
      <c r="F35" s="54">
        <v>200</v>
      </c>
      <c r="G35" s="54">
        <f>D35*E35</f>
        <v>0</v>
      </c>
      <c r="H35" s="54">
        <f>D35*F35</f>
        <v>1200</v>
      </c>
      <c r="I35" s="54">
        <f>G35+H35</f>
        <v>1200</v>
      </c>
      <c r="J35" s="52"/>
      <c r="K35" s="52"/>
      <c r="L35" s="52"/>
    </row>
    <row r="36" spans="1:12" ht="20.25">
      <c r="A36" s="51"/>
      <c r="B36" s="55" t="s">
        <v>55</v>
      </c>
      <c r="C36" s="51"/>
      <c r="D36" s="52"/>
      <c r="E36" s="52"/>
      <c r="F36" s="52"/>
      <c r="G36" s="52">
        <f>SUM(G33:G35)</f>
        <v>42000</v>
      </c>
      <c r="H36" s="52">
        <f>SUM(H33:H35)</f>
        <v>31750</v>
      </c>
      <c r="I36" s="52">
        <f>SUM(I33:I35)</f>
        <v>73750</v>
      </c>
      <c r="J36" s="52">
        <f>I36</f>
        <v>73750</v>
      </c>
      <c r="K36" s="52"/>
      <c r="L36" s="52">
        <v>10000</v>
      </c>
    </row>
    <row r="37" spans="1:12" ht="20.25">
      <c r="A37" s="51"/>
      <c r="B37" s="51"/>
      <c r="C37" s="51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20.25">
      <c r="A38" s="51" t="s">
        <v>56</v>
      </c>
      <c r="B38" s="55" t="s">
        <v>57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20.25">
      <c r="A39" s="51" t="s">
        <v>58</v>
      </c>
      <c r="B39" s="51" t="s">
        <v>59</v>
      </c>
      <c r="C39" s="51" t="s">
        <v>38</v>
      </c>
      <c r="D39" s="52">
        <v>5</v>
      </c>
      <c r="E39" s="52">
        <v>5000</v>
      </c>
      <c r="F39" s="52">
        <v>5000</v>
      </c>
      <c r="G39" s="52">
        <f>D39*E39</f>
        <v>25000</v>
      </c>
      <c r="H39" s="52">
        <f>D39*F39</f>
        <v>25000</v>
      </c>
      <c r="I39" s="52">
        <f>G39+H39</f>
        <v>50000</v>
      </c>
      <c r="J39" s="52"/>
      <c r="K39" s="52"/>
      <c r="L39" s="52"/>
    </row>
    <row r="40" spans="1:12" ht="20.25">
      <c r="A40" s="51"/>
      <c r="B40" s="53" t="s">
        <v>60</v>
      </c>
      <c r="C40" s="53" t="s">
        <v>38</v>
      </c>
      <c r="D40" s="54">
        <v>1</v>
      </c>
      <c r="E40" s="54">
        <v>9000</v>
      </c>
      <c r="F40" s="54">
        <v>7000</v>
      </c>
      <c r="G40" s="54">
        <f>D40*E40</f>
        <v>9000</v>
      </c>
      <c r="H40" s="54">
        <f>D40*F40</f>
        <v>7000</v>
      </c>
      <c r="I40" s="54">
        <f>G40+H40</f>
        <v>16000</v>
      </c>
      <c r="J40" s="52"/>
      <c r="K40" s="52"/>
      <c r="L40" s="52"/>
    </row>
    <row r="41" spans="1:12" ht="20.25">
      <c r="A41" s="51"/>
      <c r="B41" s="55" t="s">
        <v>61</v>
      </c>
      <c r="C41" s="51"/>
      <c r="D41" s="52"/>
      <c r="E41" s="52"/>
      <c r="F41" s="52"/>
      <c r="G41" s="52">
        <f>SUM(G39:G40)</f>
        <v>34000</v>
      </c>
      <c r="H41" s="52">
        <f>SUM(H39:H40)</f>
        <v>32000</v>
      </c>
      <c r="I41" s="52">
        <f>SUM(I39:I40)</f>
        <v>66000</v>
      </c>
      <c r="J41" s="52">
        <f>I41</f>
        <v>66000</v>
      </c>
      <c r="K41" s="52"/>
      <c r="L41" s="52">
        <v>10000</v>
      </c>
    </row>
    <row r="42" spans="1:12" ht="20.25">
      <c r="A42" s="51"/>
      <c r="B42" s="51"/>
      <c r="C42" s="51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20.25">
      <c r="A43" s="51" t="s">
        <v>62</v>
      </c>
      <c r="B43" s="55" t="s">
        <v>63</v>
      </c>
      <c r="C43" s="51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20.25">
      <c r="A44" s="51" t="s">
        <v>64</v>
      </c>
      <c r="B44" s="51" t="s">
        <v>65</v>
      </c>
      <c r="C44" s="51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20.25">
      <c r="A45" s="51"/>
      <c r="B45" s="51" t="s">
        <v>66</v>
      </c>
      <c r="C45" s="51" t="s">
        <v>38</v>
      </c>
      <c r="D45" s="52">
        <v>1</v>
      </c>
      <c r="E45" s="52">
        <v>4000</v>
      </c>
      <c r="F45" s="52">
        <v>0</v>
      </c>
      <c r="G45" s="52">
        <f aca="true" t="shared" si="8" ref="G45:G50">D45*E45</f>
        <v>4000</v>
      </c>
      <c r="H45" s="52">
        <f aca="true" t="shared" si="9" ref="H45:H50">D45*F45</f>
        <v>0</v>
      </c>
      <c r="I45" s="52">
        <f aca="true" t="shared" si="10" ref="I45:I50">G45+H45</f>
        <v>4000</v>
      </c>
      <c r="J45" s="52"/>
      <c r="K45" s="52"/>
      <c r="L45" s="52"/>
    </row>
    <row r="46" spans="1:12" ht="20.25">
      <c r="A46" s="51"/>
      <c r="B46" s="51" t="s">
        <v>67</v>
      </c>
      <c r="C46" s="51" t="s">
        <v>33</v>
      </c>
      <c r="D46" s="52">
        <v>100</v>
      </c>
      <c r="E46" s="52">
        <v>80</v>
      </c>
      <c r="F46" s="52">
        <v>10</v>
      </c>
      <c r="G46" s="52">
        <f t="shared" si="8"/>
        <v>8000</v>
      </c>
      <c r="H46" s="52">
        <f t="shared" si="9"/>
        <v>1000</v>
      </c>
      <c r="I46" s="52">
        <f t="shared" si="10"/>
        <v>9000</v>
      </c>
      <c r="J46" s="52"/>
      <c r="K46" s="52"/>
      <c r="L46" s="52"/>
    </row>
    <row r="47" spans="1:12" ht="20.25">
      <c r="A47" s="51"/>
      <c r="B47" s="51" t="s">
        <v>68</v>
      </c>
      <c r="C47" s="51" t="s">
        <v>33</v>
      </c>
      <c r="D47" s="52">
        <v>215</v>
      </c>
      <c r="E47" s="52">
        <v>60</v>
      </c>
      <c r="F47" s="52">
        <v>10</v>
      </c>
      <c r="G47" s="52">
        <f t="shared" si="8"/>
        <v>12900</v>
      </c>
      <c r="H47" s="52">
        <f t="shared" si="9"/>
        <v>2150</v>
      </c>
      <c r="I47" s="52">
        <f t="shared" si="10"/>
        <v>15050</v>
      </c>
      <c r="J47" s="52"/>
      <c r="K47" s="52"/>
      <c r="L47" s="52"/>
    </row>
    <row r="48" spans="1:12" ht="20.25">
      <c r="A48" s="51"/>
      <c r="B48" s="51" t="s">
        <v>69</v>
      </c>
      <c r="C48" s="51" t="s">
        <v>16</v>
      </c>
      <c r="D48" s="52">
        <v>1</v>
      </c>
      <c r="E48" s="52">
        <v>8500</v>
      </c>
      <c r="F48" s="52">
        <v>1000</v>
      </c>
      <c r="G48" s="52">
        <f t="shared" si="8"/>
        <v>8500</v>
      </c>
      <c r="H48" s="52">
        <f t="shared" si="9"/>
        <v>1000</v>
      </c>
      <c r="I48" s="52">
        <f t="shared" si="10"/>
        <v>9500</v>
      </c>
      <c r="J48" s="52"/>
      <c r="K48" s="52"/>
      <c r="L48" s="52"/>
    </row>
    <row r="49" spans="1:12" ht="20.25">
      <c r="A49" s="51"/>
      <c r="B49" s="51" t="s">
        <v>70</v>
      </c>
      <c r="C49" s="51" t="s">
        <v>38</v>
      </c>
      <c r="D49" s="52">
        <v>4</v>
      </c>
      <c r="E49" s="52">
        <v>1000</v>
      </c>
      <c r="F49" s="52">
        <v>0</v>
      </c>
      <c r="G49" s="52">
        <f t="shared" si="8"/>
        <v>4000</v>
      </c>
      <c r="H49" s="52">
        <f t="shared" si="9"/>
        <v>0</v>
      </c>
      <c r="I49" s="52">
        <f t="shared" si="10"/>
        <v>4000</v>
      </c>
      <c r="J49" s="52"/>
      <c r="K49" s="52"/>
      <c r="L49" s="52"/>
    </row>
    <row r="50" spans="1:12" ht="20.25">
      <c r="A50" s="51"/>
      <c r="B50" s="51" t="s">
        <v>71</v>
      </c>
      <c r="C50" s="51" t="s">
        <v>33</v>
      </c>
      <c r="D50" s="52">
        <v>30</v>
      </c>
      <c r="E50" s="52">
        <v>110</v>
      </c>
      <c r="F50" s="52">
        <v>0</v>
      </c>
      <c r="G50" s="52">
        <f t="shared" si="8"/>
        <v>3300</v>
      </c>
      <c r="H50" s="52">
        <f t="shared" si="9"/>
        <v>0</v>
      </c>
      <c r="I50" s="52">
        <f t="shared" si="10"/>
        <v>3300</v>
      </c>
      <c r="J50" s="52"/>
      <c r="K50" s="52"/>
      <c r="L50" s="52"/>
    </row>
    <row r="51" spans="1:12" ht="20.25">
      <c r="A51" s="51"/>
      <c r="B51" s="51" t="s">
        <v>169</v>
      </c>
      <c r="C51" s="51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20.25">
      <c r="A52" s="51"/>
      <c r="B52" s="51" t="s">
        <v>72</v>
      </c>
      <c r="C52" s="51" t="s">
        <v>16</v>
      </c>
      <c r="D52" s="52">
        <v>1</v>
      </c>
      <c r="E52" s="52"/>
      <c r="F52" s="52"/>
      <c r="G52" s="52">
        <v>103671</v>
      </c>
      <c r="H52" s="52">
        <v>5400</v>
      </c>
      <c r="I52" s="52">
        <f>G52+H52</f>
        <v>109071</v>
      </c>
      <c r="J52" s="52"/>
      <c r="K52" s="52"/>
      <c r="L52" s="52"/>
    </row>
    <row r="53" spans="1:12" ht="20.25">
      <c r="A53" s="51"/>
      <c r="B53" s="51" t="s">
        <v>73</v>
      </c>
      <c r="C53" s="51" t="s">
        <v>16</v>
      </c>
      <c r="D53" s="52">
        <v>1</v>
      </c>
      <c r="E53" s="52"/>
      <c r="F53" s="52"/>
      <c r="G53" s="52"/>
      <c r="H53" s="52">
        <v>34770</v>
      </c>
      <c r="I53" s="52">
        <f>G53+H53</f>
        <v>34770</v>
      </c>
      <c r="J53" s="52"/>
      <c r="K53" s="52"/>
      <c r="L53" s="52"/>
    </row>
    <row r="54" spans="1:12" ht="20.25">
      <c r="A54" s="51"/>
      <c r="B54" s="53" t="s">
        <v>115</v>
      </c>
      <c r="C54" s="53" t="s">
        <v>16</v>
      </c>
      <c r="D54" s="54">
        <v>1</v>
      </c>
      <c r="E54" s="54"/>
      <c r="F54" s="54"/>
      <c r="G54" s="54">
        <v>83038</v>
      </c>
      <c r="H54" s="54">
        <v>10365</v>
      </c>
      <c r="I54" s="54">
        <f>G54+H54</f>
        <v>93403</v>
      </c>
      <c r="J54" s="52"/>
      <c r="K54" s="52"/>
      <c r="L54" s="52"/>
    </row>
    <row r="55" spans="1:12" ht="20.25">
      <c r="A55" s="51"/>
      <c r="B55" s="55" t="s">
        <v>74</v>
      </c>
      <c r="C55" s="51"/>
      <c r="D55" s="52"/>
      <c r="E55" s="52"/>
      <c r="F55" s="52"/>
      <c r="G55" s="52">
        <f>SUM(G45:G54)</f>
        <v>227409</v>
      </c>
      <c r="H55" s="52">
        <f>SUM(H45:H54)</f>
        <v>54685</v>
      </c>
      <c r="I55" s="52">
        <f>SUM(I45:I54)</f>
        <v>282094</v>
      </c>
      <c r="J55" s="52">
        <f>I55</f>
        <v>282094</v>
      </c>
      <c r="K55" s="52"/>
      <c r="L55" s="52">
        <v>15000</v>
      </c>
    </row>
    <row r="56" spans="1:12" ht="20.25">
      <c r="A56" s="51"/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20.25">
      <c r="A57" s="51" t="s">
        <v>75</v>
      </c>
      <c r="B57" s="55" t="s">
        <v>116</v>
      </c>
      <c r="C57" s="51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20.25">
      <c r="A58" s="51" t="s">
        <v>76</v>
      </c>
      <c r="B58" s="51" t="s">
        <v>77</v>
      </c>
      <c r="C58" s="51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20.25">
      <c r="A59" s="51"/>
      <c r="B59" s="53" t="s">
        <v>168</v>
      </c>
      <c r="C59" s="53" t="s">
        <v>16</v>
      </c>
      <c r="D59" s="54">
        <v>1</v>
      </c>
      <c r="E59" s="54">
        <v>450000</v>
      </c>
      <c r="F59" s="54"/>
      <c r="G59" s="54">
        <f>D59*E59</f>
        <v>450000</v>
      </c>
      <c r="H59" s="54">
        <f>D59*F59</f>
        <v>0</v>
      </c>
      <c r="I59" s="54">
        <f>G59+H59</f>
        <v>450000</v>
      </c>
      <c r="J59" s="52"/>
      <c r="K59" s="52"/>
      <c r="L59" s="52"/>
    </row>
    <row r="60" spans="1:12" ht="20.25">
      <c r="A60" s="51"/>
      <c r="B60" s="55" t="s">
        <v>78</v>
      </c>
      <c r="C60" s="51"/>
      <c r="D60" s="52"/>
      <c r="E60" s="52"/>
      <c r="F60" s="52"/>
      <c r="G60" s="52">
        <f>SUM(G58:G59)</f>
        <v>450000</v>
      </c>
      <c r="H60" s="52">
        <f>SUM(H58:H59)</f>
        <v>0</v>
      </c>
      <c r="I60" s="52">
        <f>SUM(I58:I59)</f>
        <v>450000</v>
      </c>
      <c r="J60" s="52">
        <f>I60</f>
        <v>450000</v>
      </c>
      <c r="K60" s="52">
        <v>10000</v>
      </c>
      <c r="L60" s="52">
        <v>10000</v>
      </c>
    </row>
    <row r="61" spans="1:12" ht="20.25">
      <c r="A61" s="51"/>
      <c r="B61" s="53" t="s">
        <v>79</v>
      </c>
      <c r="C61" s="53"/>
      <c r="D61" s="54"/>
      <c r="E61" s="54"/>
      <c r="F61" s="54"/>
      <c r="G61" s="54"/>
      <c r="H61" s="54"/>
      <c r="I61" s="54"/>
      <c r="J61" s="54">
        <v>0</v>
      </c>
      <c r="K61" s="52"/>
      <c r="L61" s="52"/>
    </row>
    <row r="62" spans="1:12" ht="20.25">
      <c r="A62" s="59"/>
      <c r="B62" s="55" t="s">
        <v>80</v>
      </c>
      <c r="C62" s="51"/>
      <c r="D62" s="52"/>
      <c r="E62" s="52"/>
      <c r="F62" s="52"/>
      <c r="G62" s="52">
        <f>G60+G55+G39+G29+G20</f>
        <v>736029</v>
      </c>
      <c r="H62" s="52">
        <f>H60+H55+H39+H29+H20</f>
        <v>190250</v>
      </c>
      <c r="I62" s="52"/>
      <c r="J62" s="52">
        <f>SUM(J12:J61)</f>
        <v>1026029</v>
      </c>
      <c r="K62" s="60"/>
      <c r="L62" s="60"/>
    </row>
    <row r="63" spans="1:12" ht="20.25">
      <c r="A63" s="51" t="s">
        <v>81</v>
      </c>
      <c r="B63" s="51" t="s">
        <v>170</v>
      </c>
      <c r="C63" s="51" t="s">
        <v>16</v>
      </c>
      <c r="D63" s="52">
        <v>1</v>
      </c>
      <c r="E63" s="52"/>
      <c r="F63" s="52"/>
      <c r="G63" s="52"/>
      <c r="H63" s="52">
        <f>J62*5%-500</f>
        <v>50801.450000000004</v>
      </c>
      <c r="I63" s="52"/>
      <c r="J63" s="52">
        <f>H63</f>
        <v>50801.450000000004</v>
      </c>
      <c r="K63" s="52"/>
      <c r="L63" s="52">
        <v>30000</v>
      </c>
    </row>
    <row r="64" spans="1:12" ht="20.25">
      <c r="A64" s="51" t="s">
        <v>82</v>
      </c>
      <c r="B64" s="51" t="s">
        <v>83</v>
      </c>
      <c r="C64" s="51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20.25">
      <c r="A65" s="51" t="s">
        <v>84</v>
      </c>
      <c r="B65" s="51" t="s">
        <v>136</v>
      </c>
      <c r="C65" s="51"/>
      <c r="D65" s="52"/>
      <c r="E65" s="52"/>
      <c r="F65" s="52"/>
      <c r="G65" s="52"/>
      <c r="H65" s="52"/>
      <c r="I65" s="52"/>
      <c r="J65" s="52">
        <f>(J62+J63+J64)*25%</f>
        <v>269207.6125</v>
      </c>
      <c r="K65" s="52"/>
      <c r="L65" s="52"/>
    </row>
    <row r="66" spans="1:12" ht="20.25">
      <c r="A66" s="51" t="s">
        <v>85</v>
      </c>
      <c r="B66" s="53" t="s">
        <v>86</v>
      </c>
      <c r="C66" s="53"/>
      <c r="D66" s="54"/>
      <c r="E66" s="54"/>
      <c r="F66" s="54"/>
      <c r="G66" s="54"/>
      <c r="H66" s="54"/>
      <c r="I66" s="54"/>
      <c r="J66" s="54">
        <f>((((J62+J63+J65)*0.5)*10%)/12)*5</f>
        <v>28042.459635416668</v>
      </c>
      <c r="K66" s="52"/>
      <c r="L66" s="52"/>
    </row>
    <row r="67" spans="1:12" ht="20.25">
      <c r="A67" s="51"/>
      <c r="B67" s="55" t="s">
        <v>87</v>
      </c>
      <c r="C67" s="51"/>
      <c r="D67" s="52"/>
      <c r="E67" s="52"/>
      <c r="F67" s="52"/>
      <c r="G67" s="52">
        <f>G62</f>
        <v>736029</v>
      </c>
      <c r="H67" s="52">
        <f>H63+H62</f>
        <v>241051.45</v>
      </c>
      <c r="I67" s="52"/>
      <c r="J67" s="52">
        <f>SUM(J62:J66)</f>
        <v>1374080.5221354167</v>
      </c>
      <c r="K67" s="52"/>
      <c r="L67" s="52"/>
    </row>
    <row r="68" spans="1:12" ht="20.25">
      <c r="A68" s="51" t="s">
        <v>88</v>
      </c>
      <c r="B68" s="53" t="s">
        <v>89</v>
      </c>
      <c r="C68" s="53" t="s">
        <v>16</v>
      </c>
      <c r="D68" s="54">
        <v>1</v>
      </c>
      <c r="E68" s="54"/>
      <c r="F68" s="54"/>
      <c r="G68" s="54"/>
      <c r="H68" s="54"/>
      <c r="I68" s="54">
        <v>0</v>
      </c>
      <c r="J68" s="54">
        <f>J67*5%</f>
        <v>68704.02610677083</v>
      </c>
      <c r="K68" s="54"/>
      <c r="L68" s="54"/>
    </row>
    <row r="69" spans="2:12" ht="20.25">
      <c r="B69" s="35" t="s">
        <v>90</v>
      </c>
      <c r="D69" s="58"/>
      <c r="E69" s="58"/>
      <c r="F69" s="58"/>
      <c r="G69" s="58"/>
      <c r="H69" s="58"/>
      <c r="I69" s="58"/>
      <c r="J69" s="58">
        <f>SUM(J67:J68)</f>
        <v>1442784.5482421876</v>
      </c>
      <c r="K69" s="58">
        <f>SUM(K12:K68)</f>
        <v>10000</v>
      </c>
      <c r="L69" s="58">
        <f>SUM(L13:L68)</f>
        <v>109850</v>
      </c>
    </row>
    <row r="71" ht="20.25">
      <c r="B71" s="36" t="s">
        <v>91</v>
      </c>
    </row>
    <row r="73" ht="20.25">
      <c r="B73" s="61" t="s">
        <v>162</v>
      </c>
    </row>
    <row r="74" ht="20.25">
      <c r="B74" s="36" t="s">
        <v>45</v>
      </c>
    </row>
    <row r="75" ht="20.25">
      <c r="B75" s="36" t="s">
        <v>160</v>
      </c>
    </row>
    <row r="76" spans="2:4" ht="20.25">
      <c r="B76" s="36" t="s">
        <v>159</v>
      </c>
      <c r="D76" s="36" t="s">
        <v>144</v>
      </c>
    </row>
    <row r="77" spans="2:4" ht="20.25">
      <c r="B77" s="36" t="s">
        <v>161</v>
      </c>
      <c r="D77" s="36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30" zoomScaleNormal="130" zoomScalePageLayoutView="0" workbookViewId="0" topLeftCell="A1">
      <selection activeCell="C11" sqref="C11"/>
    </sheetView>
  </sheetViews>
  <sheetFormatPr defaultColWidth="11.421875" defaultRowHeight="15"/>
  <cols>
    <col min="1" max="1" width="54.421875" style="0" bestFit="1" customWidth="1"/>
    <col min="4" max="6" width="11.421875" style="0" customWidth="1"/>
    <col min="8" max="8" width="21.140625" style="0" customWidth="1"/>
    <col min="12" max="12" width="3.8515625" style="0" customWidth="1"/>
  </cols>
  <sheetData>
    <row r="1" ht="18.75">
      <c r="A1" s="1" t="s">
        <v>163</v>
      </c>
    </row>
    <row r="2" spans="1:11" ht="18.75">
      <c r="A2" s="1" t="s">
        <v>164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">
      <c r="A4" s="2" t="s">
        <v>150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1.75" thickBot="1">
      <c r="A5" s="2"/>
      <c r="B5" s="4"/>
      <c r="C5" s="4"/>
      <c r="D5" s="4"/>
      <c r="E5" s="4"/>
      <c r="F5" s="4"/>
      <c r="G5" s="4"/>
      <c r="H5" s="4"/>
      <c r="I5" s="4"/>
      <c r="J5" s="4"/>
      <c r="K5" s="4"/>
    </row>
    <row r="6" spans="1:8" ht="16.5" thickBot="1">
      <c r="A6" s="27" t="s">
        <v>3</v>
      </c>
      <c r="B6" s="28"/>
      <c r="C6" s="29" t="s">
        <v>1</v>
      </c>
      <c r="D6" s="28" t="s">
        <v>151</v>
      </c>
      <c r="E6" s="30"/>
      <c r="F6" s="30"/>
      <c r="G6" s="30"/>
      <c r="H6" s="31"/>
    </row>
    <row r="7" spans="1:8" ht="15.75">
      <c r="A7" s="20" t="s">
        <v>117</v>
      </c>
      <c r="B7" s="18"/>
      <c r="C7" s="22">
        <v>300000</v>
      </c>
      <c r="D7" s="4" t="s">
        <v>140</v>
      </c>
      <c r="E7" s="9"/>
      <c r="F7" s="4"/>
      <c r="G7" s="4"/>
      <c r="H7" s="24"/>
    </row>
    <row r="8" spans="1:8" ht="15.75">
      <c r="A8" s="10" t="s">
        <v>118</v>
      </c>
      <c r="B8" s="19"/>
      <c r="C8" s="6">
        <v>100000</v>
      </c>
      <c r="D8" s="4" t="s">
        <v>141</v>
      </c>
      <c r="E8" s="9"/>
      <c r="F8" s="4"/>
      <c r="G8" s="4"/>
      <c r="H8" s="25"/>
    </row>
    <row r="9" spans="1:8" ht="15.75">
      <c r="A9" s="10" t="s">
        <v>119</v>
      </c>
      <c r="B9" s="19"/>
      <c r="C9" s="6">
        <v>20000</v>
      </c>
      <c r="D9" s="4" t="s">
        <v>142</v>
      </c>
      <c r="E9" s="9"/>
      <c r="F9" s="4"/>
      <c r="G9" s="4"/>
      <c r="H9" s="25"/>
    </row>
    <row r="10" spans="1:8" ht="15.75">
      <c r="A10" s="10" t="s">
        <v>120</v>
      </c>
      <c r="B10" s="19"/>
      <c r="C10" s="6">
        <v>414510</v>
      </c>
      <c r="D10" s="4" t="s">
        <v>143</v>
      </c>
      <c r="E10" s="11"/>
      <c r="F10" s="4"/>
      <c r="G10" s="11"/>
      <c r="H10" s="25"/>
    </row>
    <row r="11" spans="1:8" ht="15.75">
      <c r="A11" s="10" t="s">
        <v>121</v>
      </c>
      <c r="B11" s="19"/>
      <c r="C11" s="6">
        <f>Kostnadsoverslag!R23+Kostnadsoverslag!P23</f>
        <v>119850</v>
      </c>
      <c r="D11" s="4" t="s">
        <v>154</v>
      </c>
      <c r="E11" s="9"/>
      <c r="F11" s="4"/>
      <c r="G11" s="4"/>
      <c r="H11" s="25"/>
    </row>
    <row r="12" spans="1:8" ht="16.5" thickBot="1">
      <c r="A12" s="21" t="s">
        <v>148</v>
      </c>
      <c r="B12" s="12"/>
      <c r="C12" s="23">
        <f>Kostnadsoverslag!U26</f>
        <v>469787.8532022569</v>
      </c>
      <c r="D12" s="21" t="s">
        <v>156</v>
      </c>
      <c r="E12" s="13"/>
      <c r="F12" s="12"/>
      <c r="G12" s="12"/>
      <c r="H12" s="26"/>
    </row>
    <row r="13" spans="1:7" ht="16.5" thickBot="1">
      <c r="A13" s="4" t="s">
        <v>122</v>
      </c>
      <c r="B13" s="4"/>
      <c r="C13" s="14">
        <f>Kostnadsoverslag!U24</f>
        <v>1409363.5596067708</v>
      </c>
      <c r="D13" s="11"/>
      <c r="E13" s="11"/>
      <c r="F13" s="4"/>
      <c r="G13" s="4"/>
    </row>
    <row r="14" spans="1:11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0.25">
      <c r="A17" s="36" t="s">
        <v>159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0.25">
      <c r="A18" s="36" t="s">
        <v>161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4"/>
      <c r="B20" s="4"/>
      <c r="C20" s="4"/>
      <c r="D20" s="4"/>
      <c r="E20" s="4" t="s">
        <v>147</v>
      </c>
      <c r="F20" s="4"/>
      <c r="G20" s="4"/>
      <c r="H20" s="4"/>
      <c r="I20" s="4"/>
      <c r="J20" s="4"/>
      <c r="K20" s="4"/>
    </row>
    <row r="21" spans="1:11" ht="15.75">
      <c r="A21" s="4"/>
      <c r="B21" s="4"/>
      <c r="C21" s="4"/>
      <c r="D21" s="4"/>
      <c r="E21" s="4" t="s">
        <v>167</v>
      </c>
      <c r="F21" s="4"/>
      <c r="G21" s="4"/>
      <c r="H21" s="4"/>
      <c r="I21" s="4"/>
      <c r="J21" s="4"/>
      <c r="K21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="130" zoomScaleNormal="130" zoomScalePageLayoutView="0" workbookViewId="0" topLeftCell="A1">
      <selection activeCell="F12" sqref="F12"/>
    </sheetView>
  </sheetViews>
  <sheetFormatPr defaultColWidth="11.421875" defaultRowHeight="15"/>
  <cols>
    <col min="1" max="1" width="65.28125" style="0" bestFit="1" customWidth="1"/>
    <col min="2" max="3" width="10.8515625" style="0" bestFit="1" customWidth="1"/>
  </cols>
  <sheetData>
    <row r="1" spans="1:3" ht="18.75">
      <c r="A1" s="1" t="s">
        <v>163</v>
      </c>
      <c r="B1" s="4"/>
      <c r="C1" s="4"/>
    </row>
    <row r="2" spans="1:3" ht="18.75">
      <c r="A2" s="1" t="s">
        <v>164</v>
      </c>
      <c r="B2" s="4"/>
      <c r="C2" s="4"/>
    </row>
    <row r="3" spans="1:3" ht="15.75">
      <c r="A3" s="3"/>
      <c r="B3" s="4"/>
      <c r="C3" s="4"/>
    </row>
    <row r="4" spans="1:3" ht="15.75">
      <c r="A4" s="3"/>
      <c r="B4" s="4"/>
      <c r="C4" s="4"/>
    </row>
    <row r="5" spans="1:3" ht="21">
      <c r="A5" s="2" t="s">
        <v>152</v>
      </c>
      <c r="B5" s="4"/>
      <c r="C5" s="4"/>
    </row>
    <row r="6" spans="1:3" ht="15.75">
      <c r="A6" s="4"/>
      <c r="B6" s="4"/>
      <c r="C6" s="4"/>
    </row>
    <row r="7" spans="1:3" ht="16.5" thickBot="1">
      <c r="A7" s="4"/>
      <c r="B7" s="4"/>
      <c r="C7" s="4"/>
    </row>
    <row r="8" spans="1:3" ht="16.5" thickBot="1">
      <c r="A8" s="32" t="s">
        <v>3</v>
      </c>
      <c r="B8" s="33" t="s">
        <v>123</v>
      </c>
      <c r="C8" s="34" t="s">
        <v>124</v>
      </c>
    </row>
    <row r="9" spans="1:3" ht="15.75">
      <c r="A9" s="5" t="s">
        <v>125</v>
      </c>
      <c r="B9" s="6">
        <f>90*40*35</f>
        <v>126000</v>
      </c>
      <c r="C9" s="6"/>
    </row>
    <row r="10" spans="1:3" ht="15.75">
      <c r="A10" s="5" t="s">
        <v>126</v>
      </c>
      <c r="B10" s="6">
        <f>90*40*20</f>
        <v>72000</v>
      </c>
      <c r="C10" s="6"/>
    </row>
    <row r="11" spans="1:3" ht="15.75">
      <c r="A11" s="5"/>
      <c r="B11" s="6"/>
      <c r="C11" s="6"/>
    </row>
    <row r="12" spans="1:3" ht="15.75">
      <c r="A12" s="15" t="s">
        <v>127</v>
      </c>
      <c r="B12" s="6"/>
      <c r="C12" s="6"/>
    </row>
    <row r="13" spans="1:3" ht="15.75">
      <c r="A13" s="5" t="s">
        <v>128</v>
      </c>
      <c r="B13" s="6"/>
      <c r="C13" s="6">
        <v>8820</v>
      </c>
    </row>
    <row r="14" spans="1:3" ht="15.75">
      <c r="A14" s="5" t="s">
        <v>129</v>
      </c>
      <c r="B14" s="6"/>
      <c r="C14" s="6">
        <v>30000</v>
      </c>
    </row>
    <row r="15" spans="1:3" ht="15.75">
      <c r="A15" s="5" t="s">
        <v>130</v>
      </c>
      <c r="B15" s="6"/>
      <c r="C15" s="6">
        <v>7000</v>
      </c>
    </row>
    <row r="16" spans="1:3" ht="15.75">
      <c r="A16" s="5" t="s">
        <v>131</v>
      </c>
      <c r="B16" s="6"/>
      <c r="C16" s="6">
        <v>20000</v>
      </c>
    </row>
    <row r="17" spans="1:3" ht="15.75">
      <c r="A17" s="5" t="s">
        <v>132</v>
      </c>
      <c r="B17" s="6"/>
      <c r="C17" s="6">
        <v>1000</v>
      </c>
    </row>
    <row r="18" spans="1:3" ht="15.75">
      <c r="A18" s="5" t="s">
        <v>133</v>
      </c>
      <c r="B18" s="6"/>
      <c r="C18" s="6">
        <v>12500</v>
      </c>
    </row>
    <row r="19" spans="1:3" ht="15.75">
      <c r="A19" s="7" t="s">
        <v>134</v>
      </c>
      <c r="B19" s="8"/>
      <c r="C19" s="8">
        <v>10000</v>
      </c>
    </row>
    <row r="20" spans="1:3" ht="16.5" thickBot="1">
      <c r="A20" s="7" t="s">
        <v>1</v>
      </c>
      <c r="B20" s="8">
        <f>SUM(B9:B19)</f>
        <v>198000</v>
      </c>
      <c r="C20" s="6">
        <f>SUM(C9:C19)</f>
        <v>89320</v>
      </c>
    </row>
    <row r="21" spans="1:3" ht="16.5" thickBot="1">
      <c r="A21" s="16" t="s">
        <v>135</v>
      </c>
      <c r="B21" s="17"/>
      <c r="C21" s="14">
        <f>B20-C20</f>
        <v>108680</v>
      </c>
    </row>
    <row r="22" spans="1:3" ht="15.75">
      <c r="A22" s="4"/>
      <c r="B22" s="11"/>
      <c r="C22" s="11"/>
    </row>
    <row r="23" spans="1:3" ht="15.75">
      <c r="A23" s="4"/>
      <c r="B23" s="4"/>
      <c r="C23" s="4"/>
    </row>
    <row r="24" spans="1:3" ht="15.75">
      <c r="A24" s="4"/>
      <c r="B24" s="4"/>
      <c r="C24" s="4"/>
    </row>
    <row r="25" spans="1:3" ht="15.75">
      <c r="A25" s="4"/>
      <c r="B25" s="4"/>
      <c r="C25" s="4"/>
    </row>
    <row r="26" spans="1:3" ht="15.75">
      <c r="A26" s="4" t="s">
        <v>146</v>
      </c>
      <c r="B26" s="4"/>
      <c r="C26" s="4"/>
    </row>
    <row r="27" spans="1:3" ht="15.75">
      <c r="A27" s="4"/>
      <c r="B27" s="4"/>
      <c r="C27" s="4"/>
    </row>
    <row r="28" spans="1:3" ht="15.75">
      <c r="A28" s="4"/>
      <c r="B28" s="4"/>
      <c r="C28" s="4"/>
    </row>
    <row r="29" spans="1:3" ht="15.75">
      <c r="A29" s="4" t="s">
        <v>149</v>
      </c>
      <c r="B29" s="4"/>
      <c r="C29" s="4"/>
    </row>
    <row r="30" spans="1:3" ht="15.75">
      <c r="A30" s="4" t="s">
        <v>166</v>
      </c>
      <c r="B30" s="4"/>
      <c r="C30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Gisle Løseth</dc:creator>
  <cp:keywords/>
  <dc:description/>
  <cp:lastModifiedBy>Gisle Løseth</cp:lastModifiedBy>
  <cp:lastPrinted>2013-05-06T13:59:56Z</cp:lastPrinted>
  <dcterms:created xsi:type="dcterms:W3CDTF">2013-02-07T10:06:37Z</dcterms:created>
  <dcterms:modified xsi:type="dcterms:W3CDTF">2014-04-07T08:46:45Z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