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nskiforbund.sharepoint.com/sites/kretser/hedmark/Styret/KRETSTING/2023/"/>
    </mc:Choice>
  </mc:AlternateContent>
  <xr:revisionPtr revIDLastSave="0" documentId="8_{49DC2487-29EF-49AC-8275-8FA47FCB0A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vdeling" sheetId="1" r:id="rId1"/>
    <sheet name="OSR_Sheet1_c6...5db0f394_DW72BQ" sheetId="2" state="hidden" r:id="rId2"/>
    <sheet name="00" sheetId="3" r:id="rId3"/>
    <sheet name="10" sheetId="4" r:id="rId4"/>
    <sheet name="20" sheetId="5" r:id="rId5"/>
    <sheet name="30" sheetId="6" r:id="rId6"/>
    <sheet name="40" sheetId="7" r:id="rId7"/>
    <sheet name="50" sheetId="8" r:id="rId8"/>
    <sheet name="51" sheetId="9" r:id="rId9"/>
    <sheet name="60" sheetId="10" r:id="rId10"/>
    <sheet name="70" sheetId="11" r:id="rId11"/>
    <sheet name="71" sheetId="12" r:id="rId12"/>
    <sheet name="72" sheetId="13" r:id="rId13"/>
    <sheet name="80" sheetId="14" r:id="rId14"/>
    <sheet name="NULL" sheetId="15" r:id="rId15"/>
    <sheet name="OSR_Ark8_e205...c41c188d_594FYI" sheetId="16" state="hidden" r:id="rId16"/>
  </sheets>
  <definedNames>
    <definedName name="OSR_GearWriter_0" localSheetId="2">'00'!$D$12:$G$12</definedName>
    <definedName name="OSR_GearWriter_0" localSheetId="3">'10'!$D$12:$G$12</definedName>
    <definedName name="OSR_GearWriter_0" localSheetId="4">'20'!$D$12:$G$12</definedName>
    <definedName name="OSR_GearWriter_0" localSheetId="5">'30'!$D$12:$G$12</definedName>
    <definedName name="OSR_GearWriter_0" localSheetId="6">'40'!$D$12:$G$12</definedName>
    <definedName name="OSR_GearWriter_0" localSheetId="7">'50'!$D$12:$G$12</definedName>
    <definedName name="OSR_GearWriter_0" localSheetId="8">'51'!$D$12:$G$12</definedName>
    <definedName name="OSR_GearWriter_0" localSheetId="9">'60'!$D$12:$G$12</definedName>
    <definedName name="OSR_GearWriter_0" localSheetId="10">'70'!$D$12:$G$12</definedName>
    <definedName name="OSR_GearWriter_0" localSheetId="11">'71'!$D$12:$G$12</definedName>
    <definedName name="OSR_GearWriter_0" localSheetId="12">'72'!$D$12:$G$12</definedName>
    <definedName name="OSR_GearWriter_0" localSheetId="13">'80'!$D$12:$G$12</definedName>
    <definedName name="OSR_GearWriter_0" localSheetId="0">Avdeling!$D$12:$G$12</definedName>
    <definedName name="OSR_GearWriter_0" localSheetId="14">NULL!$D$12:$G$12</definedName>
    <definedName name="OSR_GearWriter_1" localSheetId="2">'00'!$H$12:$K$12</definedName>
    <definedName name="OSR_GearWriter_1" localSheetId="3">'10'!$H$12:$K$12</definedName>
    <definedName name="OSR_GearWriter_1" localSheetId="4">'20'!$H$12:$K$12</definedName>
    <definedName name="OSR_GearWriter_1" localSheetId="5">'30'!$H$12:$K$12</definedName>
    <definedName name="OSR_GearWriter_1" localSheetId="6">'40'!$H$12:$K$12</definedName>
    <definedName name="OSR_GearWriter_1" localSheetId="7">'50'!$H$12:$K$12</definedName>
    <definedName name="OSR_GearWriter_1" localSheetId="8">'51'!$H$12:$K$12</definedName>
    <definedName name="OSR_GearWriter_1" localSheetId="9">'60'!$H$12:$K$12</definedName>
    <definedName name="OSR_GearWriter_1" localSheetId="10">'70'!$H$12:$K$12</definedName>
    <definedName name="OSR_GearWriter_1" localSheetId="11">'71'!$H$12:$K$12</definedName>
    <definedName name="OSR_GearWriter_1" localSheetId="12">'72'!$H$12:$K$12</definedName>
    <definedName name="OSR_GearWriter_1" localSheetId="13">'80'!$H$12:$K$12</definedName>
    <definedName name="OSR_GearWriter_1" localSheetId="0">Avdeling!$H$12:$K$12</definedName>
    <definedName name="OSR_GearWriter_1" localSheetId="14">NULL!$H$12:$K$12</definedName>
    <definedName name="OSR_GearWriter_2" localSheetId="2">'00'!$L$12:$O$12</definedName>
    <definedName name="OSR_GearWriter_2" localSheetId="3">'10'!$L$12:$O$12</definedName>
    <definedName name="OSR_GearWriter_2" localSheetId="4">'20'!$L$12:$O$12</definedName>
    <definedName name="OSR_GearWriter_2" localSheetId="5">'30'!$L$12:$O$12</definedName>
    <definedName name="OSR_GearWriter_2" localSheetId="6">'40'!$L$12:$O$12</definedName>
    <definedName name="OSR_GearWriter_2" localSheetId="7">'50'!$L$12:$O$12</definedName>
    <definedName name="OSR_GearWriter_2" localSheetId="8">'51'!$L$12:$O$12</definedName>
    <definedName name="OSR_GearWriter_2" localSheetId="9">'60'!$L$12:$O$12</definedName>
    <definedName name="OSR_GearWriter_2" localSheetId="10">'70'!$L$12:$O$12</definedName>
    <definedName name="OSR_GearWriter_2" localSheetId="11">'71'!$L$12:$O$12</definedName>
    <definedName name="OSR_GearWriter_2" localSheetId="12">'72'!$L$12:$O$12</definedName>
    <definedName name="OSR_GearWriter_2" localSheetId="13">'80'!$L$12:$O$12</definedName>
    <definedName name="OSR_GearWriter_2" localSheetId="0">Avdeling!$L$12:$O$12</definedName>
    <definedName name="OSR_GearWriter_2" localSheetId="14">NULL!$L$12:$O$12</definedName>
    <definedName name="OSR_GearWriter_3" localSheetId="2">'00'!$D$13:$E$13</definedName>
    <definedName name="OSR_GearWriter_3" localSheetId="3">'10'!$D$13:$E$13</definedName>
    <definedName name="OSR_GearWriter_3" localSheetId="4">'20'!$D$13:$E$13</definedName>
    <definedName name="OSR_GearWriter_3" localSheetId="5">'30'!$D$13:$E$13</definedName>
    <definedName name="OSR_GearWriter_3" localSheetId="6">'40'!$D$13:$E$13</definedName>
    <definedName name="OSR_GearWriter_3" localSheetId="7">'50'!$D$13:$E$13</definedName>
    <definedName name="OSR_GearWriter_3" localSheetId="8">'51'!$D$13:$E$13</definedName>
    <definedName name="OSR_GearWriter_3" localSheetId="9">'60'!$D$13:$E$13</definedName>
    <definedName name="OSR_GearWriter_3" localSheetId="10">'70'!$D$13:$E$13</definedName>
    <definedName name="OSR_GearWriter_3" localSheetId="11">'71'!$D$13:$E$13</definedName>
    <definedName name="OSR_GearWriter_3" localSheetId="12">'72'!$D$13:$E$13</definedName>
    <definedName name="OSR_GearWriter_3" localSheetId="13">'80'!$D$13:$E$13</definedName>
    <definedName name="OSR_GearWriter_3" localSheetId="0">Avdeling!$D$13:$E$13</definedName>
    <definedName name="OSR_GearWriter_3" localSheetId="14">NULL!$D$13:$E$13</definedName>
    <definedName name="OSR_GearWriter_4" localSheetId="2">'00'!$H$13:$I$13</definedName>
    <definedName name="OSR_GearWriter_4" localSheetId="3">'10'!$H$13:$I$13</definedName>
    <definedName name="OSR_GearWriter_4" localSheetId="4">'20'!$H$13:$I$13</definedName>
    <definedName name="OSR_GearWriter_4" localSheetId="5">'30'!$H$13:$I$13</definedName>
    <definedName name="OSR_GearWriter_4" localSheetId="6">'40'!$H$13:$I$13</definedName>
    <definedName name="OSR_GearWriter_4" localSheetId="7">'50'!$H$13:$I$13</definedName>
    <definedName name="OSR_GearWriter_4" localSheetId="8">'51'!$H$13:$I$13</definedName>
    <definedName name="OSR_GearWriter_4" localSheetId="9">'60'!$H$13:$I$13</definedName>
    <definedName name="OSR_GearWriter_4" localSheetId="10">'70'!$H$13:$I$13</definedName>
    <definedName name="OSR_GearWriter_4" localSheetId="11">'71'!$H$13:$I$13</definedName>
    <definedName name="OSR_GearWriter_4" localSheetId="12">'72'!$H$13:$I$13</definedName>
    <definedName name="OSR_GearWriter_4" localSheetId="13">'80'!$H$13:$I$13</definedName>
    <definedName name="OSR_GearWriter_4" localSheetId="0">Avdeling!$H$13:$I$13</definedName>
    <definedName name="OSR_GearWriter_4" localSheetId="14">NULL!$H$13:$I$13</definedName>
    <definedName name="OSR_GearWriter_5" localSheetId="2">'00'!$L$13:$M$13</definedName>
    <definedName name="OSR_GearWriter_5" localSheetId="3">'10'!$L$13:$M$13</definedName>
    <definedName name="OSR_GearWriter_5" localSheetId="4">'20'!$L$13:$M$13</definedName>
    <definedName name="OSR_GearWriter_5" localSheetId="5">'30'!$L$13:$M$13</definedName>
    <definedName name="OSR_GearWriter_5" localSheetId="6">'40'!$L$13:$M$13</definedName>
    <definedName name="OSR_GearWriter_5" localSheetId="7">'50'!$L$13:$M$13</definedName>
    <definedName name="OSR_GearWriter_5" localSheetId="8">'51'!$L$13:$M$13</definedName>
    <definedName name="OSR_GearWriter_5" localSheetId="9">'60'!$L$13:$M$13</definedName>
    <definedName name="OSR_GearWriter_5" localSheetId="10">'70'!$L$13:$M$13</definedName>
    <definedName name="OSR_GearWriter_5" localSheetId="11">'71'!$L$13:$M$13</definedName>
    <definedName name="OSR_GearWriter_5" localSheetId="12">'72'!$L$13:$M$13</definedName>
    <definedName name="OSR_GearWriter_5" localSheetId="13">'80'!$L$13:$M$13</definedName>
    <definedName name="OSR_GearWriter_5" localSheetId="0">Avdeling!$L$13:$M$13</definedName>
    <definedName name="OSR_GearWriter_5" localSheetId="14">NULL!$L$13:$M$13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6" l="1"/>
  <c r="J22" i="16"/>
  <c r="I22" i="16"/>
  <c r="H22" i="16"/>
  <c r="G22" i="16"/>
  <c r="F22" i="16"/>
  <c r="E22" i="16"/>
  <c r="D22" i="16"/>
  <c r="P19" i="16"/>
  <c r="K19" i="16"/>
  <c r="J19" i="16"/>
  <c r="I19" i="16"/>
  <c r="H19" i="16"/>
  <c r="G19" i="16"/>
  <c r="F19" i="16"/>
  <c r="E19" i="16"/>
  <c r="D19" i="16"/>
  <c r="C19" i="16"/>
  <c r="B19" i="16"/>
  <c r="K16" i="16"/>
  <c r="J16" i="16"/>
  <c r="I16" i="16"/>
  <c r="M16" i="16" s="1"/>
  <c r="H16" i="16"/>
  <c r="G16" i="16"/>
  <c r="F16" i="16"/>
  <c r="E16" i="16"/>
  <c r="D16" i="16"/>
  <c r="H8" i="16"/>
  <c r="G8" i="16"/>
  <c r="E7" i="16"/>
  <c r="F6" i="16"/>
  <c r="E6" i="16"/>
  <c r="K21" i="15"/>
  <c r="J21" i="15"/>
  <c r="I21" i="15"/>
  <c r="H21" i="15"/>
  <c r="G21" i="15"/>
  <c r="O21" i="15" s="1"/>
  <c r="F21" i="15"/>
  <c r="N21" i="15" s="1"/>
  <c r="E21" i="15"/>
  <c r="M21" i="15" s="1"/>
  <c r="D21" i="15"/>
  <c r="L21" i="15" s="1"/>
  <c r="K16" i="15"/>
  <c r="J16" i="15"/>
  <c r="I16" i="15"/>
  <c r="H16" i="15"/>
  <c r="G16" i="15"/>
  <c r="O16" i="15" s="1"/>
  <c r="F16" i="15"/>
  <c r="E16" i="15"/>
  <c r="M16" i="15" s="1"/>
  <c r="D16" i="15"/>
  <c r="L16" i="15" s="1"/>
  <c r="E7" i="15"/>
  <c r="O21" i="14"/>
  <c r="K21" i="14"/>
  <c r="J21" i="14"/>
  <c r="I21" i="14"/>
  <c r="H21" i="14"/>
  <c r="G21" i="14"/>
  <c r="F21" i="14"/>
  <c r="N21" i="14" s="1"/>
  <c r="E21" i="14"/>
  <c r="M21" i="14" s="1"/>
  <c r="D21" i="14"/>
  <c r="L21" i="14" s="1"/>
  <c r="K16" i="14"/>
  <c r="J16" i="14"/>
  <c r="I16" i="14"/>
  <c r="H16" i="14"/>
  <c r="G16" i="14"/>
  <c r="F16" i="14"/>
  <c r="N16" i="14" s="1"/>
  <c r="E16" i="14"/>
  <c r="M16" i="14" s="1"/>
  <c r="D16" i="14"/>
  <c r="L16" i="14" s="1"/>
  <c r="E7" i="14"/>
  <c r="K21" i="13"/>
  <c r="J21" i="13"/>
  <c r="I21" i="13"/>
  <c r="H21" i="13"/>
  <c r="G21" i="13"/>
  <c r="O21" i="13" s="1"/>
  <c r="F21" i="13"/>
  <c r="N21" i="13" s="1"/>
  <c r="E21" i="13"/>
  <c r="M21" i="13" s="1"/>
  <c r="D21" i="13"/>
  <c r="L21" i="13" s="1"/>
  <c r="K16" i="13"/>
  <c r="J16" i="13"/>
  <c r="I16" i="13"/>
  <c r="H16" i="13"/>
  <c r="G16" i="13"/>
  <c r="O16" i="13" s="1"/>
  <c r="F16" i="13"/>
  <c r="N16" i="13" s="1"/>
  <c r="E16" i="13"/>
  <c r="M16" i="13" s="1"/>
  <c r="D16" i="13"/>
  <c r="L16" i="13" s="1"/>
  <c r="E7" i="13"/>
  <c r="J22" i="12"/>
  <c r="I22" i="12"/>
  <c r="H22" i="12"/>
  <c r="N19" i="12"/>
  <c r="K19" i="12"/>
  <c r="K22" i="12" s="1"/>
  <c r="J19" i="12"/>
  <c r="I19" i="12"/>
  <c r="H19" i="12"/>
  <c r="F19" i="12"/>
  <c r="E19" i="12"/>
  <c r="M19" i="12" s="1"/>
  <c r="D19" i="12"/>
  <c r="D22" i="12" s="1"/>
  <c r="L22" i="12" s="1"/>
  <c r="K16" i="12"/>
  <c r="J16" i="12"/>
  <c r="I16" i="12"/>
  <c r="H16" i="12"/>
  <c r="E7" i="12"/>
  <c r="K37" i="11"/>
  <c r="J37" i="11"/>
  <c r="I37" i="11"/>
  <c r="H37" i="11"/>
  <c r="F37" i="11"/>
  <c r="G37" i="11" s="1"/>
  <c r="E37" i="11"/>
  <c r="M37" i="11" s="1"/>
  <c r="D37" i="11"/>
  <c r="L37" i="11" s="1"/>
  <c r="J36" i="11"/>
  <c r="K36" i="11" s="1"/>
  <c r="I36" i="11"/>
  <c r="H36" i="11"/>
  <c r="F36" i="11"/>
  <c r="G36" i="11" s="1"/>
  <c r="O36" i="11" s="1"/>
  <c r="E36" i="11"/>
  <c r="M36" i="11" s="1"/>
  <c r="D36" i="11"/>
  <c r="L36" i="11" s="1"/>
  <c r="K35" i="11"/>
  <c r="J35" i="11"/>
  <c r="I35" i="11"/>
  <c r="H35" i="11"/>
  <c r="F35" i="11"/>
  <c r="G35" i="11" s="1"/>
  <c r="E35" i="11"/>
  <c r="M35" i="11" s="1"/>
  <c r="D35" i="11"/>
  <c r="L35" i="11" s="1"/>
  <c r="J34" i="11"/>
  <c r="K34" i="11" s="1"/>
  <c r="I34" i="11"/>
  <c r="H34" i="11"/>
  <c r="F34" i="11"/>
  <c r="G34" i="11" s="1"/>
  <c r="O34" i="11" s="1"/>
  <c r="E34" i="11"/>
  <c r="M34" i="11" s="1"/>
  <c r="D34" i="11"/>
  <c r="L34" i="11" s="1"/>
  <c r="K33" i="11"/>
  <c r="J33" i="11"/>
  <c r="I33" i="11"/>
  <c r="H33" i="11"/>
  <c r="F33" i="11"/>
  <c r="G33" i="11" s="1"/>
  <c r="E33" i="11"/>
  <c r="M33" i="11" s="1"/>
  <c r="D33" i="11"/>
  <c r="L33" i="11" s="1"/>
  <c r="J32" i="11"/>
  <c r="K32" i="11" s="1"/>
  <c r="I32" i="11"/>
  <c r="H32" i="11"/>
  <c r="F32" i="11"/>
  <c r="G32" i="11" s="1"/>
  <c r="O32" i="11" s="1"/>
  <c r="E32" i="11"/>
  <c r="M32" i="11" s="1"/>
  <c r="D32" i="11"/>
  <c r="L32" i="11" s="1"/>
  <c r="K31" i="11"/>
  <c r="J31" i="11"/>
  <c r="I31" i="11"/>
  <c r="H31" i="11"/>
  <c r="F31" i="11"/>
  <c r="G31" i="11" s="1"/>
  <c r="E31" i="11"/>
  <c r="M31" i="11" s="1"/>
  <c r="D31" i="11"/>
  <c r="L31" i="11" s="1"/>
  <c r="J30" i="11"/>
  <c r="K30" i="11" s="1"/>
  <c r="I30" i="11"/>
  <c r="H30" i="11"/>
  <c r="F30" i="11"/>
  <c r="G30" i="11" s="1"/>
  <c r="O30" i="11" s="1"/>
  <c r="E30" i="11"/>
  <c r="M30" i="11" s="1"/>
  <c r="D30" i="11"/>
  <c r="L30" i="11" s="1"/>
  <c r="K29" i="11"/>
  <c r="J29" i="11"/>
  <c r="I29" i="11"/>
  <c r="H29" i="11"/>
  <c r="F29" i="11"/>
  <c r="G29" i="11" s="1"/>
  <c r="E29" i="11"/>
  <c r="M29" i="11" s="1"/>
  <c r="D29" i="11"/>
  <c r="L29" i="11" s="1"/>
  <c r="J28" i="11"/>
  <c r="K28" i="11" s="1"/>
  <c r="I28" i="11"/>
  <c r="H28" i="11"/>
  <c r="F28" i="11"/>
  <c r="G28" i="11" s="1"/>
  <c r="O28" i="11" s="1"/>
  <c r="E28" i="11"/>
  <c r="M28" i="11" s="1"/>
  <c r="D28" i="11"/>
  <c r="L28" i="11" s="1"/>
  <c r="K27" i="11"/>
  <c r="J27" i="11"/>
  <c r="I27" i="11"/>
  <c r="H27" i="11"/>
  <c r="F27" i="11"/>
  <c r="G27" i="11" s="1"/>
  <c r="E27" i="11"/>
  <c r="M27" i="11" s="1"/>
  <c r="D27" i="11"/>
  <c r="L27" i="11" s="1"/>
  <c r="J26" i="11"/>
  <c r="K26" i="11" s="1"/>
  <c r="I26" i="11"/>
  <c r="H26" i="11"/>
  <c r="F26" i="11"/>
  <c r="G26" i="11" s="1"/>
  <c r="O26" i="11" s="1"/>
  <c r="E26" i="11"/>
  <c r="M26" i="11" s="1"/>
  <c r="D26" i="11"/>
  <c r="L26" i="11" s="1"/>
  <c r="K25" i="11"/>
  <c r="J25" i="11"/>
  <c r="I25" i="11"/>
  <c r="H25" i="11"/>
  <c r="F25" i="11"/>
  <c r="G25" i="11" s="1"/>
  <c r="E25" i="11"/>
  <c r="M25" i="11" s="1"/>
  <c r="D25" i="11"/>
  <c r="L25" i="11" s="1"/>
  <c r="J24" i="11"/>
  <c r="K24" i="11" s="1"/>
  <c r="I24" i="11"/>
  <c r="H24" i="11"/>
  <c r="F24" i="11"/>
  <c r="G24" i="11" s="1"/>
  <c r="O24" i="11" s="1"/>
  <c r="E24" i="11"/>
  <c r="M24" i="11" s="1"/>
  <c r="D24" i="11"/>
  <c r="L24" i="11" s="1"/>
  <c r="K23" i="11"/>
  <c r="J23" i="11"/>
  <c r="I23" i="11"/>
  <c r="H23" i="11"/>
  <c r="F23" i="11"/>
  <c r="G23" i="11" s="1"/>
  <c r="E23" i="11"/>
  <c r="M23" i="11" s="1"/>
  <c r="D23" i="11"/>
  <c r="L23" i="11" s="1"/>
  <c r="J22" i="11"/>
  <c r="K22" i="11" s="1"/>
  <c r="I22" i="11"/>
  <c r="H22" i="11"/>
  <c r="F22" i="11"/>
  <c r="G22" i="11" s="1"/>
  <c r="O22" i="11" s="1"/>
  <c r="E22" i="11"/>
  <c r="M22" i="11" s="1"/>
  <c r="D22" i="11"/>
  <c r="L22" i="11" s="1"/>
  <c r="K21" i="11"/>
  <c r="J21" i="11"/>
  <c r="I21" i="11"/>
  <c r="H21" i="11"/>
  <c r="F21" i="11"/>
  <c r="G21" i="11" s="1"/>
  <c r="E21" i="11"/>
  <c r="M21" i="11" s="1"/>
  <c r="D21" i="11"/>
  <c r="L21" i="11" s="1"/>
  <c r="J20" i="11"/>
  <c r="K20" i="11" s="1"/>
  <c r="I20" i="11"/>
  <c r="H20" i="11"/>
  <c r="F20" i="11"/>
  <c r="G20" i="11" s="1"/>
  <c r="E20" i="11"/>
  <c r="M20" i="11" s="1"/>
  <c r="D20" i="11"/>
  <c r="L20" i="11" s="1"/>
  <c r="K19" i="11"/>
  <c r="J19" i="11"/>
  <c r="I19" i="11"/>
  <c r="I40" i="11" s="1"/>
  <c r="H19" i="11"/>
  <c r="H40" i="11" s="1"/>
  <c r="F19" i="11"/>
  <c r="G19" i="11" s="1"/>
  <c r="E19" i="11"/>
  <c r="M19" i="11" s="1"/>
  <c r="D19" i="11"/>
  <c r="L19" i="11" s="1"/>
  <c r="I16" i="11"/>
  <c r="H16" i="11"/>
  <c r="E16" i="11"/>
  <c r="M16" i="11" s="1"/>
  <c r="D16" i="11"/>
  <c r="L16" i="11" s="1"/>
  <c r="E7" i="11"/>
  <c r="K22" i="10"/>
  <c r="D22" i="10"/>
  <c r="K19" i="10"/>
  <c r="J19" i="10"/>
  <c r="J22" i="10" s="1"/>
  <c r="I19" i="10"/>
  <c r="I22" i="10" s="1"/>
  <c r="H19" i="10"/>
  <c r="G19" i="10"/>
  <c r="F19" i="10"/>
  <c r="F22" i="10" s="1"/>
  <c r="E19" i="10"/>
  <c r="E22" i="10" s="1"/>
  <c r="D19" i="10"/>
  <c r="K16" i="10"/>
  <c r="J16" i="10"/>
  <c r="I16" i="10"/>
  <c r="F16" i="10"/>
  <c r="N16" i="10" s="1"/>
  <c r="E16" i="10"/>
  <c r="M16" i="10" s="1"/>
  <c r="D16" i="10"/>
  <c r="E7" i="10"/>
  <c r="K21" i="9"/>
  <c r="J21" i="9"/>
  <c r="I21" i="9"/>
  <c r="H21" i="9"/>
  <c r="G21" i="9"/>
  <c r="O21" i="9" s="1"/>
  <c r="F21" i="9"/>
  <c r="N21" i="9" s="1"/>
  <c r="E21" i="9"/>
  <c r="D21" i="9"/>
  <c r="K16" i="9"/>
  <c r="J16" i="9"/>
  <c r="I16" i="9"/>
  <c r="H16" i="9"/>
  <c r="G16" i="9"/>
  <c r="O16" i="9" s="1"/>
  <c r="F16" i="9"/>
  <c r="N16" i="9" s="1"/>
  <c r="E16" i="9"/>
  <c r="M16" i="9" s="1"/>
  <c r="D16" i="9"/>
  <c r="L16" i="9" s="1"/>
  <c r="E7" i="9"/>
  <c r="K31" i="8"/>
  <c r="J31" i="8"/>
  <c r="I31" i="8"/>
  <c r="H31" i="8"/>
  <c r="F31" i="8"/>
  <c r="G31" i="8" s="1"/>
  <c r="O31" i="8" s="1"/>
  <c r="E31" i="8"/>
  <c r="M31" i="8" s="1"/>
  <c r="D31" i="8"/>
  <c r="L31" i="8" s="1"/>
  <c r="J30" i="8"/>
  <c r="K30" i="8" s="1"/>
  <c r="I30" i="8"/>
  <c r="H30" i="8"/>
  <c r="G30" i="8"/>
  <c r="O30" i="8" s="1"/>
  <c r="F30" i="8"/>
  <c r="N30" i="8" s="1"/>
  <c r="E30" i="8"/>
  <c r="M30" i="8" s="1"/>
  <c r="D30" i="8"/>
  <c r="L30" i="8" s="1"/>
  <c r="K29" i="8"/>
  <c r="J29" i="8"/>
  <c r="I29" i="8"/>
  <c r="H29" i="8"/>
  <c r="F29" i="8"/>
  <c r="G29" i="8" s="1"/>
  <c r="O29" i="8" s="1"/>
  <c r="E29" i="8"/>
  <c r="M29" i="8" s="1"/>
  <c r="D29" i="8"/>
  <c r="L29" i="8" s="1"/>
  <c r="J28" i="8"/>
  <c r="K28" i="8" s="1"/>
  <c r="I28" i="8"/>
  <c r="H28" i="8"/>
  <c r="F28" i="8"/>
  <c r="N28" i="8" s="1"/>
  <c r="E28" i="8"/>
  <c r="M28" i="8" s="1"/>
  <c r="D28" i="8"/>
  <c r="L28" i="8" s="1"/>
  <c r="K27" i="8"/>
  <c r="J27" i="8"/>
  <c r="I27" i="8"/>
  <c r="H27" i="8"/>
  <c r="F27" i="8"/>
  <c r="G27" i="8" s="1"/>
  <c r="O27" i="8" s="1"/>
  <c r="E27" i="8"/>
  <c r="M27" i="8" s="1"/>
  <c r="D27" i="8"/>
  <c r="L27" i="8" s="1"/>
  <c r="J26" i="8"/>
  <c r="K26" i="8" s="1"/>
  <c r="I26" i="8"/>
  <c r="H26" i="8"/>
  <c r="G26" i="8"/>
  <c r="O26" i="8" s="1"/>
  <c r="F26" i="8"/>
  <c r="N26" i="8" s="1"/>
  <c r="E26" i="8"/>
  <c r="M26" i="8" s="1"/>
  <c r="D26" i="8"/>
  <c r="L26" i="8" s="1"/>
  <c r="K25" i="8"/>
  <c r="J25" i="8"/>
  <c r="I25" i="8"/>
  <c r="H25" i="8"/>
  <c r="F25" i="8"/>
  <c r="G25" i="8" s="1"/>
  <c r="O25" i="8" s="1"/>
  <c r="E25" i="8"/>
  <c r="M25" i="8" s="1"/>
  <c r="D25" i="8"/>
  <c r="L25" i="8" s="1"/>
  <c r="J24" i="8"/>
  <c r="K24" i="8" s="1"/>
  <c r="I24" i="8"/>
  <c r="H24" i="8"/>
  <c r="G24" i="8"/>
  <c r="O24" i="8" s="1"/>
  <c r="F24" i="8"/>
  <c r="N24" i="8" s="1"/>
  <c r="E24" i="8"/>
  <c r="M24" i="8" s="1"/>
  <c r="D24" i="8"/>
  <c r="L24" i="8" s="1"/>
  <c r="K23" i="8"/>
  <c r="J23" i="8"/>
  <c r="I23" i="8"/>
  <c r="H23" i="8"/>
  <c r="F23" i="8"/>
  <c r="G23" i="8" s="1"/>
  <c r="O23" i="8" s="1"/>
  <c r="E23" i="8"/>
  <c r="M23" i="8" s="1"/>
  <c r="D23" i="8"/>
  <c r="L23" i="8" s="1"/>
  <c r="J22" i="8"/>
  <c r="K22" i="8" s="1"/>
  <c r="I22" i="8"/>
  <c r="H22" i="8"/>
  <c r="F22" i="8"/>
  <c r="N22" i="8" s="1"/>
  <c r="E22" i="8"/>
  <c r="M22" i="8" s="1"/>
  <c r="D22" i="8"/>
  <c r="L22" i="8" s="1"/>
  <c r="N21" i="8"/>
  <c r="J21" i="8"/>
  <c r="K21" i="8" s="1"/>
  <c r="I21" i="8"/>
  <c r="H21" i="8"/>
  <c r="F21" i="8"/>
  <c r="G21" i="8" s="1"/>
  <c r="O21" i="8" s="1"/>
  <c r="E21" i="8"/>
  <c r="M21" i="8" s="1"/>
  <c r="D21" i="8"/>
  <c r="L21" i="8" s="1"/>
  <c r="J20" i="8"/>
  <c r="K20" i="8" s="1"/>
  <c r="I20" i="8"/>
  <c r="I34" i="8" s="1"/>
  <c r="H20" i="8"/>
  <c r="F20" i="8"/>
  <c r="E20" i="8"/>
  <c r="D20" i="8"/>
  <c r="L20" i="8" s="1"/>
  <c r="N19" i="8"/>
  <c r="M19" i="8"/>
  <c r="J19" i="8"/>
  <c r="K19" i="8" s="1"/>
  <c r="I19" i="8"/>
  <c r="H19" i="8"/>
  <c r="H34" i="8" s="1"/>
  <c r="F19" i="8"/>
  <c r="E19" i="8"/>
  <c r="D19" i="8"/>
  <c r="D34" i="8" s="1"/>
  <c r="L34" i="8" s="1"/>
  <c r="J16" i="8"/>
  <c r="I16" i="8"/>
  <c r="H16" i="8"/>
  <c r="D16" i="8"/>
  <c r="L16" i="8" s="1"/>
  <c r="E7" i="8"/>
  <c r="K21" i="7"/>
  <c r="J21" i="7"/>
  <c r="I21" i="7"/>
  <c r="H21" i="7"/>
  <c r="G21" i="7"/>
  <c r="O21" i="7" s="1"/>
  <c r="F21" i="7"/>
  <c r="N21" i="7" s="1"/>
  <c r="E21" i="7"/>
  <c r="M21" i="7" s="1"/>
  <c r="D21" i="7"/>
  <c r="L21" i="7" s="1"/>
  <c r="K16" i="7"/>
  <c r="J16" i="7"/>
  <c r="I16" i="7"/>
  <c r="H16" i="7"/>
  <c r="G16" i="7"/>
  <c r="O16" i="7" s="1"/>
  <c r="F16" i="7"/>
  <c r="E16" i="7"/>
  <c r="M16" i="7" s="1"/>
  <c r="D16" i="7"/>
  <c r="L16" i="7" s="1"/>
  <c r="E7" i="7"/>
  <c r="H27" i="6"/>
  <c r="K24" i="6"/>
  <c r="J24" i="6"/>
  <c r="I24" i="6"/>
  <c r="H24" i="6"/>
  <c r="G24" i="6"/>
  <c r="O24" i="6" s="1"/>
  <c r="F24" i="6"/>
  <c r="N24" i="6" s="1"/>
  <c r="E24" i="6"/>
  <c r="M24" i="6" s="1"/>
  <c r="D24" i="6"/>
  <c r="D16" i="6" s="1"/>
  <c r="K23" i="6"/>
  <c r="J23" i="6"/>
  <c r="I23" i="6"/>
  <c r="H23" i="6"/>
  <c r="G23" i="6"/>
  <c r="O23" i="6" s="1"/>
  <c r="F23" i="6"/>
  <c r="N23" i="6" s="1"/>
  <c r="E23" i="6"/>
  <c r="M23" i="6" s="1"/>
  <c r="D23" i="6"/>
  <c r="K22" i="6"/>
  <c r="J22" i="6"/>
  <c r="I22" i="6"/>
  <c r="H22" i="6"/>
  <c r="G22" i="6"/>
  <c r="O22" i="6" s="1"/>
  <c r="F22" i="6"/>
  <c r="N22" i="6" s="1"/>
  <c r="E22" i="6"/>
  <c r="M22" i="6" s="1"/>
  <c r="D22" i="6"/>
  <c r="L22" i="6" s="1"/>
  <c r="K21" i="6"/>
  <c r="J21" i="6"/>
  <c r="I21" i="6"/>
  <c r="H21" i="6"/>
  <c r="G21" i="6"/>
  <c r="O21" i="6" s="1"/>
  <c r="F21" i="6"/>
  <c r="N21" i="6" s="1"/>
  <c r="E21" i="6"/>
  <c r="M21" i="6" s="1"/>
  <c r="D21" i="6"/>
  <c r="K20" i="6"/>
  <c r="K16" i="6" s="1"/>
  <c r="J20" i="6"/>
  <c r="I20" i="6"/>
  <c r="H20" i="6"/>
  <c r="G20" i="6"/>
  <c r="F20" i="6"/>
  <c r="N20" i="6" s="1"/>
  <c r="E20" i="6"/>
  <c r="M20" i="6" s="1"/>
  <c r="D20" i="6"/>
  <c r="L20" i="6" s="1"/>
  <c r="O19" i="6"/>
  <c r="K19" i="6"/>
  <c r="K27" i="6" s="1"/>
  <c r="J19" i="6"/>
  <c r="J27" i="6" s="1"/>
  <c r="I19" i="6"/>
  <c r="I27" i="6" s="1"/>
  <c r="H19" i="6"/>
  <c r="G19" i="6"/>
  <c r="F19" i="6"/>
  <c r="F27" i="6" s="1"/>
  <c r="E19" i="6"/>
  <c r="E27" i="6" s="1"/>
  <c r="D19" i="6"/>
  <c r="D27" i="6" s="1"/>
  <c r="J16" i="6"/>
  <c r="I16" i="6"/>
  <c r="F16" i="6"/>
  <c r="N16" i="6" s="1"/>
  <c r="E16" i="6"/>
  <c r="M16" i="6" s="1"/>
  <c r="E7" i="6"/>
  <c r="K27" i="5"/>
  <c r="J27" i="5"/>
  <c r="I27" i="5"/>
  <c r="H27" i="5"/>
  <c r="G27" i="5"/>
  <c r="O27" i="5" s="1"/>
  <c r="F27" i="5"/>
  <c r="N27" i="5" s="1"/>
  <c r="E27" i="5"/>
  <c r="M27" i="5" s="1"/>
  <c r="D27" i="5"/>
  <c r="L27" i="5" s="1"/>
  <c r="K26" i="5"/>
  <c r="J26" i="5"/>
  <c r="I26" i="5"/>
  <c r="H26" i="5"/>
  <c r="G26" i="5"/>
  <c r="O26" i="5" s="1"/>
  <c r="F26" i="5"/>
  <c r="N26" i="5" s="1"/>
  <c r="E26" i="5"/>
  <c r="M26" i="5" s="1"/>
  <c r="D26" i="5"/>
  <c r="K25" i="5"/>
  <c r="J25" i="5"/>
  <c r="I25" i="5"/>
  <c r="H25" i="5"/>
  <c r="G25" i="5"/>
  <c r="O25" i="5" s="1"/>
  <c r="F25" i="5"/>
  <c r="N25" i="5" s="1"/>
  <c r="E25" i="5"/>
  <c r="M25" i="5" s="1"/>
  <c r="D25" i="5"/>
  <c r="L25" i="5" s="1"/>
  <c r="K24" i="5"/>
  <c r="J24" i="5"/>
  <c r="I24" i="5"/>
  <c r="I30" i="5" s="1"/>
  <c r="H24" i="5"/>
  <c r="F24" i="5"/>
  <c r="G24" i="5" s="1"/>
  <c r="O24" i="5" s="1"/>
  <c r="E24" i="5"/>
  <c r="D24" i="5"/>
  <c r="K23" i="5"/>
  <c r="J23" i="5"/>
  <c r="I23" i="5"/>
  <c r="H23" i="5"/>
  <c r="G23" i="5"/>
  <c r="O23" i="5" s="1"/>
  <c r="F23" i="5"/>
  <c r="N23" i="5" s="1"/>
  <c r="E23" i="5"/>
  <c r="M23" i="5" s="1"/>
  <c r="D23" i="5"/>
  <c r="L23" i="5" s="1"/>
  <c r="K22" i="5"/>
  <c r="J22" i="5"/>
  <c r="I22" i="5"/>
  <c r="H22" i="5"/>
  <c r="H30" i="5" s="1"/>
  <c r="G22" i="5"/>
  <c r="O22" i="5" s="1"/>
  <c r="F22" i="5"/>
  <c r="N22" i="5" s="1"/>
  <c r="E22" i="5"/>
  <c r="D22" i="5"/>
  <c r="K21" i="5"/>
  <c r="J21" i="5"/>
  <c r="I21" i="5"/>
  <c r="H21" i="5"/>
  <c r="G21" i="5"/>
  <c r="O21" i="5" s="1"/>
  <c r="F21" i="5"/>
  <c r="N21" i="5" s="1"/>
  <c r="E21" i="5"/>
  <c r="M21" i="5" s="1"/>
  <c r="D21" i="5"/>
  <c r="L21" i="5" s="1"/>
  <c r="K20" i="5"/>
  <c r="J20" i="5"/>
  <c r="I20" i="5"/>
  <c r="H20" i="5"/>
  <c r="F20" i="5"/>
  <c r="G20" i="5" s="1"/>
  <c r="O20" i="5" s="1"/>
  <c r="E20" i="5"/>
  <c r="M20" i="5" s="1"/>
  <c r="D20" i="5"/>
  <c r="L20" i="5" s="1"/>
  <c r="M19" i="5"/>
  <c r="J19" i="5"/>
  <c r="J30" i="5" s="1"/>
  <c r="I19" i="5"/>
  <c r="H19" i="5"/>
  <c r="F19" i="5"/>
  <c r="G19" i="5" s="1"/>
  <c r="E19" i="5"/>
  <c r="D19" i="5"/>
  <c r="L19" i="5" s="1"/>
  <c r="I16" i="5"/>
  <c r="F16" i="5"/>
  <c r="E7" i="5"/>
  <c r="H22" i="4"/>
  <c r="F22" i="4"/>
  <c r="E22" i="4"/>
  <c r="J19" i="4"/>
  <c r="I19" i="4"/>
  <c r="H19" i="4"/>
  <c r="F19" i="4"/>
  <c r="E19" i="4"/>
  <c r="D19" i="4"/>
  <c r="L19" i="4" s="1"/>
  <c r="H16" i="4"/>
  <c r="F16" i="4"/>
  <c r="E16" i="4"/>
  <c r="E7" i="4"/>
  <c r="J22" i="3"/>
  <c r="H22" i="3"/>
  <c r="J19" i="3"/>
  <c r="K19" i="3" s="1"/>
  <c r="K22" i="3" s="1"/>
  <c r="I19" i="3"/>
  <c r="I22" i="3" s="1"/>
  <c r="H19" i="3"/>
  <c r="F19" i="3"/>
  <c r="G19" i="3" s="1"/>
  <c r="E19" i="3"/>
  <c r="E22" i="3" s="1"/>
  <c r="M22" i="3" s="1"/>
  <c r="D19" i="3"/>
  <c r="D22" i="3" s="1"/>
  <c r="L22" i="3" s="1"/>
  <c r="J16" i="3"/>
  <c r="I16" i="3"/>
  <c r="H16" i="3"/>
  <c r="E16" i="3"/>
  <c r="M16" i="3" s="1"/>
  <c r="E7" i="3"/>
  <c r="K21" i="2"/>
  <c r="J21" i="2"/>
  <c r="I21" i="2"/>
  <c r="H21" i="2"/>
  <c r="G21" i="2"/>
  <c r="F21" i="2"/>
  <c r="E21" i="2"/>
  <c r="D21" i="2"/>
  <c r="K18" i="2"/>
  <c r="J18" i="2"/>
  <c r="I18" i="2"/>
  <c r="H18" i="2"/>
  <c r="G18" i="2"/>
  <c r="F18" i="2"/>
  <c r="E18" i="2"/>
  <c r="D18" i="2"/>
  <c r="C18" i="2"/>
  <c r="B18" i="2"/>
  <c r="E7" i="2"/>
  <c r="F6" i="2"/>
  <c r="E6" i="2"/>
  <c r="J25" i="1"/>
  <c r="K25" i="1" s="1"/>
  <c r="I25" i="1"/>
  <c r="H25" i="1"/>
  <c r="G25" i="1"/>
  <c r="F25" i="1"/>
  <c r="N25" i="1" s="1"/>
  <c r="E25" i="1"/>
  <c r="M25" i="1" s="1"/>
  <c r="D25" i="1"/>
  <c r="L25" i="1" s="1"/>
  <c r="L24" i="1"/>
  <c r="K24" i="1"/>
  <c r="J24" i="1"/>
  <c r="I24" i="1"/>
  <c r="H24" i="1"/>
  <c r="F24" i="1"/>
  <c r="G24" i="1" s="1"/>
  <c r="O24" i="1" s="1"/>
  <c r="E24" i="1"/>
  <c r="M24" i="1" s="1"/>
  <c r="D24" i="1"/>
  <c r="J23" i="1"/>
  <c r="K23" i="1" s="1"/>
  <c r="I23" i="1"/>
  <c r="H23" i="1"/>
  <c r="F23" i="1"/>
  <c r="G23" i="1" s="1"/>
  <c r="E23" i="1"/>
  <c r="M23" i="1" s="1"/>
  <c r="D23" i="1"/>
  <c r="L23" i="1" s="1"/>
  <c r="K22" i="1"/>
  <c r="J22" i="1"/>
  <c r="I22" i="1"/>
  <c r="H22" i="1"/>
  <c r="G22" i="1"/>
  <c r="O22" i="1" s="1"/>
  <c r="F22" i="1"/>
  <c r="N22" i="1" s="1"/>
  <c r="E22" i="1"/>
  <c r="M22" i="1" s="1"/>
  <c r="D22" i="1"/>
  <c r="L22" i="1" s="1"/>
  <c r="K21" i="1"/>
  <c r="J21" i="1"/>
  <c r="I21" i="1"/>
  <c r="H21" i="1"/>
  <c r="F21" i="1"/>
  <c r="G21" i="1" s="1"/>
  <c r="O21" i="1" s="1"/>
  <c r="E21" i="1"/>
  <c r="M21" i="1" s="1"/>
  <c r="D21" i="1"/>
  <c r="L21" i="1" s="1"/>
  <c r="L20" i="1"/>
  <c r="J20" i="1"/>
  <c r="K20" i="1" s="1"/>
  <c r="I20" i="1"/>
  <c r="H20" i="1"/>
  <c r="G20" i="1"/>
  <c r="O20" i="1" s="1"/>
  <c r="F20" i="1"/>
  <c r="N20" i="1" s="1"/>
  <c r="E20" i="1"/>
  <c r="E28" i="1" s="1"/>
  <c r="M28" i="1" s="1"/>
  <c r="D20" i="1"/>
  <c r="J19" i="1"/>
  <c r="K19" i="1" s="1"/>
  <c r="I19" i="1"/>
  <c r="H19" i="1"/>
  <c r="F19" i="1"/>
  <c r="G19" i="1" s="1"/>
  <c r="E19" i="1"/>
  <c r="M19" i="1" s="1"/>
  <c r="D19" i="1"/>
  <c r="L19" i="1" s="1"/>
  <c r="M18" i="1"/>
  <c r="J18" i="1"/>
  <c r="K18" i="1" s="1"/>
  <c r="K28" i="1" s="1"/>
  <c r="I18" i="1"/>
  <c r="I28" i="1" s="1"/>
  <c r="H18" i="1"/>
  <c r="F18" i="1"/>
  <c r="G18" i="1" s="1"/>
  <c r="E18" i="1"/>
  <c r="D18" i="1"/>
  <c r="D28" i="1" s="1"/>
  <c r="E7" i="1"/>
  <c r="O22" i="16" l="1"/>
  <c r="L16" i="16"/>
  <c r="N16" i="16"/>
  <c r="O21" i="2"/>
  <c r="L18" i="2"/>
  <c r="L21" i="2"/>
  <c r="O16" i="16"/>
  <c r="M21" i="2"/>
  <c r="L22" i="16"/>
  <c r="O18" i="2"/>
  <c r="O19" i="16"/>
  <c r="N22" i="16"/>
  <c r="L19" i="16"/>
  <c r="M18" i="2"/>
  <c r="M19" i="16"/>
  <c r="N18" i="2"/>
  <c r="N21" i="2"/>
  <c r="N19" i="16"/>
  <c r="M22" i="16"/>
  <c r="G40" i="11"/>
  <c r="O20" i="11"/>
  <c r="G22" i="3"/>
  <c r="O22" i="3" s="1"/>
  <c r="G16" i="3"/>
  <c r="O19" i="3"/>
  <c r="I22" i="4"/>
  <c r="M22" i="4" s="1"/>
  <c r="I16" i="4"/>
  <c r="M16" i="4" s="1"/>
  <c r="L24" i="6"/>
  <c r="N23" i="8"/>
  <c r="N25" i="8"/>
  <c r="N27" i="8"/>
  <c r="G22" i="10"/>
  <c r="O22" i="10" s="1"/>
  <c r="G16" i="10"/>
  <c r="O16" i="10" s="1"/>
  <c r="K40" i="11"/>
  <c r="K16" i="11"/>
  <c r="N20" i="11"/>
  <c r="N22" i="11"/>
  <c r="N24" i="11"/>
  <c r="N26" i="11"/>
  <c r="N28" i="11"/>
  <c r="N30" i="11"/>
  <c r="N32" i="11"/>
  <c r="N34" i="11"/>
  <c r="N36" i="11"/>
  <c r="L18" i="1"/>
  <c r="M20" i="1"/>
  <c r="K16" i="3"/>
  <c r="N19" i="3"/>
  <c r="J22" i="4"/>
  <c r="N22" i="4" s="1"/>
  <c r="J16" i="4"/>
  <c r="N16" i="4" s="1"/>
  <c r="K19" i="4"/>
  <c r="H16" i="5"/>
  <c r="G27" i="6"/>
  <c r="O27" i="6" s="1"/>
  <c r="K34" i="8"/>
  <c r="K16" i="8"/>
  <c r="J34" i="8"/>
  <c r="H22" i="10"/>
  <c r="L22" i="10" s="1"/>
  <c r="H16" i="10"/>
  <c r="L16" i="10" s="1"/>
  <c r="F40" i="11"/>
  <c r="N40" i="11" s="1"/>
  <c r="E30" i="5"/>
  <c r="M30" i="5" s="1"/>
  <c r="E16" i="5"/>
  <c r="M16" i="5" s="1"/>
  <c r="L22" i="5"/>
  <c r="M27" i="6"/>
  <c r="F16" i="11"/>
  <c r="O19" i="11"/>
  <c r="O21" i="11"/>
  <c r="O23" i="11"/>
  <c r="O25" i="11"/>
  <c r="O27" i="11"/>
  <c r="O29" i="11"/>
  <c r="O31" i="11"/>
  <c r="O33" i="11"/>
  <c r="O35" i="11"/>
  <c r="O37" i="11"/>
  <c r="F22" i="12"/>
  <c r="N22" i="12" s="1"/>
  <c r="F16" i="12"/>
  <c r="N16" i="12" s="1"/>
  <c r="G19" i="12"/>
  <c r="D30" i="5"/>
  <c r="L30" i="5" s="1"/>
  <c r="D16" i="5"/>
  <c r="L16" i="5" s="1"/>
  <c r="L27" i="6"/>
  <c r="E22" i="12"/>
  <c r="M22" i="12" s="1"/>
  <c r="E16" i="12"/>
  <c r="M16" i="12" s="1"/>
  <c r="G28" i="1"/>
  <c r="O28" i="1" s="1"/>
  <c r="O18" i="1"/>
  <c r="O19" i="1"/>
  <c r="O23" i="1"/>
  <c r="O25" i="1"/>
  <c r="M19" i="4"/>
  <c r="G30" i="5"/>
  <c r="G16" i="5"/>
  <c r="M22" i="5"/>
  <c r="N27" i="6"/>
  <c r="L21" i="6"/>
  <c r="E34" i="8"/>
  <c r="M34" i="8" s="1"/>
  <c r="E16" i="8"/>
  <c r="M16" i="8" s="1"/>
  <c r="M20" i="8"/>
  <c r="L21" i="9"/>
  <c r="L19" i="10"/>
  <c r="O19" i="10"/>
  <c r="G16" i="11"/>
  <c r="O16" i="11" s="1"/>
  <c r="O16" i="14"/>
  <c r="H28" i="1"/>
  <c r="L28" i="1" s="1"/>
  <c r="N19" i="4"/>
  <c r="L24" i="5"/>
  <c r="G16" i="6"/>
  <c r="O16" i="6" s="1"/>
  <c r="F34" i="8"/>
  <c r="N34" i="8" s="1"/>
  <c r="F16" i="8"/>
  <c r="N16" i="8" s="1"/>
  <c r="G19" i="8"/>
  <c r="N20" i="8"/>
  <c r="M21" i="9"/>
  <c r="M22" i="10"/>
  <c r="F22" i="3"/>
  <c r="N22" i="3" s="1"/>
  <c r="F16" i="3"/>
  <c r="N16" i="3" s="1"/>
  <c r="M24" i="5"/>
  <c r="L26" i="5"/>
  <c r="H16" i="6"/>
  <c r="L16" i="6" s="1"/>
  <c r="O20" i="6"/>
  <c r="L23" i="6"/>
  <c r="N16" i="7"/>
  <c r="N29" i="8"/>
  <c r="N31" i="8"/>
  <c r="N22" i="10"/>
  <c r="J40" i="11"/>
  <c r="J16" i="11"/>
  <c r="N16" i="15"/>
  <c r="N19" i="1"/>
  <c r="N21" i="1"/>
  <c r="N23" i="1"/>
  <c r="J28" i="1"/>
  <c r="L19" i="3"/>
  <c r="G19" i="4"/>
  <c r="N20" i="5"/>
  <c r="N24" i="5"/>
  <c r="F30" i="5"/>
  <c r="N30" i="5" s="1"/>
  <c r="M19" i="6"/>
  <c r="G20" i="8"/>
  <c r="O20" i="8" s="1"/>
  <c r="G22" i="8"/>
  <c r="O22" i="8" s="1"/>
  <c r="G28" i="8"/>
  <c r="O28" i="8" s="1"/>
  <c r="M19" i="10"/>
  <c r="D40" i="11"/>
  <c r="L40" i="11" s="1"/>
  <c r="M19" i="3"/>
  <c r="D16" i="4"/>
  <c r="L16" i="4" s="1"/>
  <c r="D22" i="4"/>
  <c r="L22" i="4" s="1"/>
  <c r="K19" i="5"/>
  <c r="N19" i="6"/>
  <c r="L19" i="8"/>
  <c r="N19" i="10"/>
  <c r="E40" i="11"/>
  <c r="M40" i="11" s="1"/>
  <c r="L19" i="12"/>
  <c r="N18" i="1"/>
  <c r="N24" i="1"/>
  <c r="F28" i="1"/>
  <c r="D16" i="3"/>
  <c r="L16" i="3" s="1"/>
  <c r="J16" i="5"/>
  <c r="N16" i="5" s="1"/>
  <c r="N19" i="5"/>
  <c r="D16" i="12"/>
  <c r="L16" i="12" s="1"/>
  <c r="N19" i="11"/>
  <c r="N21" i="11"/>
  <c r="N23" i="11"/>
  <c r="N25" i="11"/>
  <c r="N27" i="11"/>
  <c r="N29" i="11"/>
  <c r="N31" i="11"/>
  <c r="N33" i="11"/>
  <c r="N35" i="11"/>
  <c r="N37" i="11"/>
  <c r="L19" i="6"/>
  <c r="O16" i="3" l="1"/>
  <c r="O19" i="12"/>
  <c r="G22" i="12"/>
  <c r="O22" i="12" s="1"/>
  <c r="G16" i="12"/>
  <c r="O16" i="12" s="1"/>
  <c r="K22" i="4"/>
  <c r="K16" i="4"/>
  <c r="N28" i="1"/>
  <c r="K30" i="5"/>
  <c r="O30" i="5" s="1"/>
  <c r="K16" i="5"/>
  <c r="G22" i="4"/>
  <c r="G16" i="4"/>
  <c r="O19" i="4"/>
  <c r="O19" i="5"/>
  <c r="O40" i="11"/>
  <c r="O19" i="8"/>
  <c r="G34" i="8"/>
  <c r="O34" i="8" s="1"/>
  <c r="G16" i="8"/>
  <c r="O16" i="8" s="1"/>
  <c r="O16" i="5"/>
  <c r="N16" i="11"/>
  <c r="O16" i="4" l="1"/>
  <c r="O22" i="4"/>
</calcChain>
</file>

<file path=xl/sharedStrings.xml><?xml version="1.0" encoding="utf-8"?>
<sst xmlns="http://schemas.openxmlformats.org/spreadsheetml/2006/main" count="510" uniqueCount="87">
  <si>
    <t>Inntekter</t>
  </si>
  <si>
    <t>Resultat</t>
  </si>
  <si>
    <t>Avdelingsnavn</t>
  </si>
  <si>
    <t>Prosjektnr</t>
  </si>
  <si>
    <t>40</t>
  </si>
  <si>
    <t>Hedmarkhopp Sør</t>
  </si>
  <si>
    <t>Jenteprosjekt</t>
  </si>
  <si>
    <t>51</t>
  </si>
  <si>
    <t>Langdistansecup</t>
  </si>
  <si>
    <t>SUM TOTALT</t>
  </si>
  <si>
    <t>Langrenn</t>
  </si>
  <si>
    <t>Rekruttering</t>
  </si>
  <si>
    <t>NC 2</t>
  </si>
  <si>
    <t>80</t>
  </si>
  <si>
    <t>Dette året (alle)</t>
  </si>
  <si>
    <t>ALpin</t>
  </si>
  <si>
    <t>Sommerskiskole</t>
  </si>
  <si>
    <t>NM JR</t>
  </si>
  <si>
    <t>HedmarkHopp</t>
  </si>
  <si>
    <t>Telemark</t>
  </si>
  <si>
    <t>År</t>
  </si>
  <si>
    <t>Årsbudsjett</t>
  </si>
  <si>
    <t>Prosjekt Temakvelder Utvikling</t>
  </si>
  <si>
    <t>Miljøsamling Barmark</t>
  </si>
  <si>
    <t>Prognose</t>
  </si>
  <si>
    <t>Post 3- aktivitetsmidler</t>
  </si>
  <si>
    <t>30</t>
  </si>
  <si>
    <t>Hopp administrasjon</t>
  </si>
  <si>
    <t>Hopp</t>
  </si>
  <si>
    <t>70</t>
  </si>
  <si>
    <t>NM Jr</t>
  </si>
  <si>
    <t>Prosjektnavn</t>
  </si>
  <si>
    <t>Hovedlandsrennet</t>
  </si>
  <si>
    <t>Utdanning</t>
  </si>
  <si>
    <t>Smøreservice junior/ungdom</t>
  </si>
  <si>
    <t>Periode:</t>
  </si>
  <si>
    <t>Adm-Administrasjon</t>
  </si>
  <si>
    <t>Lønnskostnader ansatte</t>
  </si>
  <si>
    <t>Miljøsamling Snø</t>
  </si>
  <si>
    <t>Ungdoms/interkretssamling</t>
  </si>
  <si>
    <t>Kretslag JR</t>
  </si>
  <si>
    <t>Hedmark Skikrets</t>
  </si>
  <si>
    <t>20</t>
  </si>
  <si>
    <t>Hovedlandsrenn alpin</t>
  </si>
  <si>
    <t>KM/Kretscup</t>
  </si>
  <si>
    <t>Hedmark Skidommerlaug</t>
  </si>
  <si>
    <t>60</t>
  </si>
  <si>
    <t>LK administrasjon</t>
  </si>
  <si>
    <t>Senior</t>
  </si>
  <si>
    <t>Trysilcup</t>
  </si>
  <si>
    <t>KULT</t>
  </si>
  <si>
    <t>Budsjett</t>
  </si>
  <si>
    <t>Avd.nr</t>
  </si>
  <si>
    <t>Ingen</t>
  </si>
  <si>
    <t>Telenorlekene</t>
  </si>
  <si>
    <t>Solan Gundersen Vinterleker</t>
  </si>
  <si>
    <t>NM JR2/NC4</t>
  </si>
  <si>
    <t>71</t>
  </si>
  <si>
    <t>Regnskap</t>
  </si>
  <si>
    <t>Styret-administrasjon</t>
  </si>
  <si>
    <t>Senior Smøreservice</t>
  </si>
  <si>
    <t>Administrasjon</t>
  </si>
  <si>
    <t>Hedmarkhopp Nord</t>
  </si>
  <si>
    <t>Kombinert administrasjon</t>
  </si>
  <si>
    <t>Kombinert</t>
  </si>
  <si>
    <t>10</t>
  </si>
  <si>
    <t>Integrering</t>
  </si>
  <si>
    <t>Bingo</t>
  </si>
  <si>
    <t>50</t>
  </si>
  <si>
    <t>Barmarkssamling</t>
  </si>
  <si>
    <t>Ungdomsstafetten</t>
  </si>
  <si>
    <t>Post 3 - Utdanning</t>
  </si>
  <si>
    <t>Miljøsamling</t>
  </si>
  <si>
    <t>Sommersamling</t>
  </si>
  <si>
    <t>NC 1</t>
  </si>
  <si>
    <t>72</t>
  </si>
  <si>
    <t>Kostnader</t>
  </si>
  <si>
    <t>Team Veidekke Innlandet</t>
  </si>
  <si>
    <t>Skiklubbutvikling</t>
  </si>
  <si>
    <t>Hittil i år</t>
  </si>
  <si>
    <t>Styret</t>
  </si>
  <si>
    <t>00</t>
  </si>
  <si>
    <t>Alpin adm</t>
  </si>
  <si>
    <t>Freestyle</t>
  </si>
  <si>
    <t>NM SR</t>
  </si>
  <si>
    <t>Kretscup/regioncup</t>
  </si>
  <si>
    <t>Team Elon Innlandet administrasjon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</si>
</sst>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" fillId="0" borderId="0" xfId="2"/>
    <xf numFmtId="1" fontId="2" fillId="0" borderId="1" xfId="2" applyNumberFormat="1" applyFont="1" applyBorder="1" applyAlignment="1">
      <alignment horizontal="center"/>
    </xf>
    <xf numFmtId="1" fontId="3" fillId="0" borderId="2" xfId="2" applyNumberFormat="1" applyFont="1" applyBorder="1"/>
    <xf numFmtId="1" fontId="3" fillId="0" borderId="0" xfId="2" applyNumberFormat="1" applyFont="1"/>
    <xf numFmtId="1" fontId="4" fillId="0" borderId="3" xfId="2" applyNumberFormat="1" applyFont="1" applyBorder="1"/>
    <xf numFmtId="1" fontId="4" fillId="0" borderId="4" xfId="2" applyNumberFormat="1" applyFont="1" applyBorder="1"/>
    <xf numFmtId="3" fontId="4" fillId="0" borderId="4" xfId="2" applyNumberFormat="1" applyFont="1" applyBorder="1"/>
    <xf numFmtId="1" fontId="6" fillId="0" borderId="0" xfId="2" applyNumberFormat="1" applyFont="1"/>
    <xf numFmtId="0" fontId="2" fillId="0" borderId="6" xfId="2" applyFont="1" applyBorder="1" applyAlignment="1">
      <alignment horizontal="left"/>
    </xf>
    <xf numFmtId="3" fontId="7" fillId="0" borderId="7" xfId="2" applyNumberFormat="1" applyFont="1" applyBorder="1"/>
    <xf numFmtId="1" fontId="8" fillId="0" borderId="0" xfId="2" applyNumberFormat="1" applyFont="1"/>
    <xf numFmtId="1" fontId="4" fillId="0" borderId="8" xfId="2" applyNumberFormat="1" applyFont="1" applyBorder="1"/>
    <xf numFmtId="1" fontId="4" fillId="0" borderId="9" xfId="2" applyNumberFormat="1" applyFont="1" applyBorder="1"/>
    <xf numFmtId="3" fontId="4" fillId="0" borderId="9" xfId="2" applyNumberFormat="1" applyFont="1" applyBorder="1"/>
    <xf numFmtId="1" fontId="4" fillId="0" borderId="6" xfId="2" applyNumberFormat="1" applyFont="1" applyBorder="1"/>
    <xf numFmtId="3" fontId="7" fillId="0" borderId="10" xfId="2" applyNumberFormat="1" applyFont="1" applyBorder="1"/>
    <xf numFmtId="3" fontId="7" fillId="0" borderId="11" xfId="2" applyNumberFormat="1" applyFont="1" applyBorder="1"/>
    <xf numFmtId="3" fontId="4" fillId="0" borderId="12" xfId="1" applyNumberFormat="1" applyFont="1" applyFill="1" applyBorder="1"/>
    <xf numFmtId="165" fontId="4" fillId="0" borderId="4" xfId="2" applyNumberFormat="1" applyFont="1" applyBorder="1"/>
    <xf numFmtId="0" fontId="9" fillId="0" borderId="0" xfId="2" applyFont="1" applyAlignment="1">
      <alignment horizontal="left"/>
    </xf>
    <xf numFmtId="165" fontId="4" fillId="0" borderId="9" xfId="2" applyNumberFormat="1" applyFont="1" applyBorder="1"/>
    <xf numFmtId="3" fontId="4" fillId="0" borderId="12" xfId="2" applyNumberFormat="1" applyFont="1" applyBorder="1"/>
    <xf numFmtId="1" fontId="4" fillId="0" borderId="12" xfId="2" applyNumberFormat="1" applyFont="1" applyBorder="1"/>
    <xf numFmtId="1" fontId="4" fillId="0" borderId="15" xfId="2" applyNumberFormat="1" applyFont="1" applyBorder="1"/>
    <xf numFmtId="3" fontId="4" fillId="0" borderId="4" xfId="1" applyNumberFormat="1" applyFont="1" applyFill="1" applyBorder="1"/>
    <xf numFmtId="3" fontId="7" fillId="0" borderId="16" xfId="1" applyNumberFormat="1" applyFont="1" applyFill="1" applyBorder="1"/>
    <xf numFmtId="3" fontId="7" fillId="2" borderId="17" xfId="1" applyNumberFormat="1" applyFont="1" applyFill="1" applyBorder="1"/>
    <xf numFmtId="3" fontId="7" fillId="0" borderId="18" xfId="1" applyNumberFormat="1" applyFont="1" applyBorder="1"/>
    <xf numFmtId="1" fontId="2" fillId="0" borderId="0" xfId="2" applyNumberFormat="1" applyFont="1"/>
    <xf numFmtId="0" fontId="9" fillId="0" borderId="2" xfId="2" applyFont="1" applyBorder="1" applyAlignment="1">
      <alignment horizontal="left"/>
    </xf>
    <xf numFmtId="38" fontId="7" fillId="0" borderId="17" xfId="2" applyNumberFormat="1" applyFont="1" applyBorder="1"/>
    <xf numFmtId="0" fontId="10" fillId="0" borderId="0" xfId="2" applyFont="1" applyAlignment="1">
      <alignment horizontal="left"/>
    </xf>
    <xf numFmtId="38" fontId="4" fillId="0" borderId="9" xfId="2" applyNumberFormat="1" applyFont="1" applyBorder="1"/>
    <xf numFmtId="0" fontId="7" fillId="0" borderId="9" xfId="2" applyFont="1" applyBorder="1"/>
    <xf numFmtId="0" fontId="4" fillId="0" borderId="9" xfId="2" applyFont="1" applyBorder="1"/>
    <xf numFmtId="165" fontId="4" fillId="0" borderId="12" xfId="2" applyNumberFormat="1" applyFont="1" applyBorder="1"/>
    <xf numFmtId="0" fontId="7" fillId="0" borderId="11" xfId="2" applyFont="1" applyBorder="1"/>
    <xf numFmtId="38" fontId="4" fillId="0" borderId="8" xfId="2" applyNumberFormat="1" applyFont="1" applyBorder="1"/>
    <xf numFmtId="3" fontId="7" fillId="0" borderId="16" xfId="1" applyNumberFormat="1" applyFont="1" applyBorder="1"/>
    <xf numFmtId="3" fontId="7" fillId="0" borderId="18" xfId="1" applyNumberFormat="1" applyFont="1" applyFill="1" applyBorder="1"/>
    <xf numFmtId="1" fontId="9" fillId="0" borderId="0" xfId="2" applyNumberFormat="1" applyFont="1"/>
    <xf numFmtId="3" fontId="4" fillId="2" borderId="9" xfId="1" applyNumberFormat="1" applyFont="1" applyFill="1" applyBorder="1"/>
    <xf numFmtId="1" fontId="4" fillId="0" borderId="2" xfId="2" applyNumberFormat="1" applyFont="1" applyBorder="1"/>
    <xf numFmtId="0" fontId="8" fillId="0" borderId="0" xfId="2" applyFont="1"/>
    <xf numFmtId="0" fontId="4" fillId="0" borderId="0" xfId="2" applyFont="1"/>
    <xf numFmtId="0" fontId="2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1" fontId="6" fillId="0" borderId="1" xfId="2" applyNumberFormat="1" applyFont="1" applyBorder="1"/>
    <xf numFmtId="3" fontId="4" fillId="2" borderId="9" xfId="1" applyNumberFormat="1" applyFont="1" applyFill="1" applyBorder="1" applyProtection="1">
      <protection locked="0"/>
    </xf>
    <xf numFmtId="38" fontId="4" fillId="0" borderId="0" xfId="2" applyNumberFormat="1" applyFont="1"/>
    <xf numFmtId="49" fontId="4" fillId="0" borderId="0" xfId="2" applyNumberFormat="1" applyFont="1" applyAlignment="1">
      <alignment horizontal="right"/>
    </xf>
    <xf numFmtId="38" fontId="7" fillId="0" borderId="0" xfId="2" applyNumberFormat="1" applyFont="1"/>
    <xf numFmtId="1" fontId="8" fillId="0" borderId="1" xfId="2" applyNumberFormat="1" applyFont="1" applyBorder="1"/>
    <xf numFmtId="0" fontId="4" fillId="0" borderId="6" xfId="2" applyFont="1" applyBorder="1"/>
    <xf numFmtId="0" fontId="2" fillId="0" borderId="0" xfId="2" applyFont="1"/>
    <xf numFmtId="3" fontId="7" fillId="0" borderId="19" xfId="1" applyNumberFormat="1" applyFont="1" applyFill="1" applyBorder="1"/>
    <xf numFmtId="1" fontId="5" fillId="0" borderId="14" xfId="2" applyNumberFormat="1" applyFont="1" applyBorder="1"/>
    <xf numFmtId="49" fontId="9" fillId="0" borderId="0" xfId="2" applyNumberFormat="1" applyFont="1"/>
    <xf numFmtId="3" fontId="7" fillId="0" borderId="20" xfId="1" applyNumberFormat="1" applyFont="1" applyFill="1" applyBorder="1"/>
    <xf numFmtId="3" fontId="4" fillId="2" borderId="12" xfId="1" applyNumberFormat="1" applyFont="1" applyFill="1" applyBorder="1" applyProtection="1">
      <protection locked="0"/>
    </xf>
    <xf numFmtId="3" fontId="7" fillId="2" borderId="21" xfId="1" applyNumberFormat="1" applyFont="1" applyFill="1" applyBorder="1"/>
    <xf numFmtId="165" fontId="4" fillId="0" borderId="22" xfId="2" applyNumberFormat="1" applyFont="1" applyBorder="1"/>
    <xf numFmtId="3" fontId="4" fillId="0" borderId="22" xfId="1" applyNumberFormat="1" applyFont="1" applyFill="1" applyBorder="1"/>
    <xf numFmtId="1" fontId="4" fillId="0" borderId="23" xfId="2" applyNumberFormat="1" applyFont="1" applyBorder="1"/>
    <xf numFmtId="165" fontId="4" fillId="0" borderId="23" xfId="2" applyNumberFormat="1" applyFont="1" applyBorder="1"/>
    <xf numFmtId="1" fontId="4" fillId="0" borderId="24" xfId="2" applyNumberFormat="1" applyFont="1" applyBorder="1"/>
    <xf numFmtId="3" fontId="4" fillId="0" borderId="22" xfId="2" applyNumberFormat="1" applyFont="1" applyBorder="1"/>
    <xf numFmtId="3" fontId="4" fillId="0" borderId="23" xfId="2" applyNumberFormat="1" applyFont="1" applyBorder="1"/>
    <xf numFmtId="1" fontId="4" fillId="0" borderId="22" xfId="2" applyNumberFormat="1" applyFont="1" applyBorder="1"/>
    <xf numFmtId="1" fontId="4" fillId="0" borderId="25" xfId="2" applyNumberFormat="1" applyFont="1" applyBorder="1"/>
    <xf numFmtId="3" fontId="4" fillId="0" borderId="23" xfId="1" applyNumberFormat="1" applyFont="1" applyFill="1" applyBorder="1"/>
    <xf numFmtId="3" fontId="4" fillId="2" borderId="12" xfId="1" applyNumberFormat="1" applyFont="1" applyFill="1" applyBorder="1"/>
    <xf numFmtId="1" fontId="5" fillId="0" borderId="13" xfId="2" applyNumberFormat="1" applyFont="1" applyBorder="1" applyAlignment="1">
      <alignment horizontal="center"/>
    </xf>
    <xf numFmtId="1" fontId="5" fillId="0" borderId="5" xfId="2" applyNumberFormat="1" applyFont="1" applyBorder="1" applyAlignment="1">
      <alignment horizontal="center"/>
    </xf>
    <xf numFmtId="1" fontId="5" fillId="0" borderId="14" xfId="2" applyNumberFormat="1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center"/>
    </xf>
  </cellXfs>
  <cellStyles count="3">
    <cellStyle name="K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I35" sqref="I35"/>
    </sheetView>
  </sheetViews>
  <sheetFormatPr baseColWidth="10" defaultColWidth="9.109375" defaultRowHeight="14.4" x14ac:dyDescent="0.3"/>
  <cols>
    <col min="1" max="1" width="10" customWidth="1"/>
    <col min="2" max="15" width="13.33203125" customWidth="1"/>
  </cols>
  <sheetData>
    <row r="1" spans="1:15" ht="3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1:15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1:15" ht="15.6" x14ac:dyDescent="0.3">
      <c r="B8" s="1"/>
      <c r="C8" s="1"/>
      <c r="D8" s="4"/>
      <c r="E8" s="1"/>
      <c r="F8" s="29"/>
      <c r="G8" s="1"/>
      <c r="H8" s="29"/>
      <c r="I8" s="4"/>
      <c r="J8" s="4"/>
      <c r="K8" s="4"/>
      <c r="L8" s="4"/>
      <c r="M8" s="4"/>
      <c r="N8" s="4"/>
      <c r="O8" s="1"/>
    </row>
    <row r="9" spans="1:15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1:15" ht="22.8" x14ac:dyDescent="0.4">
      <c r="B10" s="1"/>
      <c r="C10" s="20"/>
      <c r="D10" s="20"/>
      <c r="E10" s="20"/>
      <c r="F10" s="1"/>
      <c r="G10" s="4"/>
      <c r="H10" s="41"/>
      <c r="I10" s="4"/>
      <c r="J10" s="4"/>
      <c r="K10" s="4"/>
      <c r="L10" s="4"/>
      <c r="M10" s="4"/>
      <c r="N10" s="4"/>
      <c r="O10" s="1"/>
    </row>
    <row r="11" spans="1:15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1:15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</row>
    <row r="13" spans="1:15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</row>
    <row r="14" spans="1:15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</row>
    <row r="15" spans="1:15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</row>
    <row r="16" spans="1:15" x14ac:dyDescent="0.3">
      <c r="A16" s="1"/>
      <c r="B16" s="37"/>
      <c r="C16" s="67"/>
      <c r="D16" s="68"/>
      <c r="E16" s="7"/>
      <c r="F16" s="7"/>
      <c r="G16" s="14"/>
      <c r="H16" s="22"/>
      <c r="I16" s="7"/>
      <c r="J16" s="7"/>
      <c r="K16" s="14"/>
      <c r="L16" s="22"/>
      <c r="M16" s="7"/>
      <c r="N16" s="7"/>
      <c r="O16" s="14"/>
    </row>
    <row r="17" spans="1:15" x14ac:dyDescent="0.3">
      <c r="A17" s="1"/>
      <c r="B17" s="35" t="s">
        <v>52</v>
      </c>
      <c r="C17" s="62" t="s">
        <v>2</v>
      </c>
      <c r="D17" s="65"/>
      <c r="E17" s="19"/>
      <c r="F17" s="19"/>
      <c r="G17" s="21"/>
      <c r="H17" s="36"/>
      <c r="I17" s="19"/>
      <c r="J17" s="19"/>
      <c r="K17" s="21"/>
      <c r="L17" s="36"/>
      <c r="M17" s="19"/>
      <c r="N17" s="19"/>
      <c r="O17" s="21"/>
    </row>
    <row r="18" spans="1:15" x14ac:dyDescent="0.3">
      <c r="B18" s="34">
        <v>0</v>
      </c>
      <c r="C18" s="63" t="s">
        <v>53</v>
      </c>
      <c r="D18" s="71">
        <f>0*1</f>
        <v>0</v>
      </c>
      <c r="E18" s="25">
        <f t="shared" ref="E18:F18" si="0">0*(-1)</f>
        <v>0</v>
      </c>
      <c r="F18" s="25">
        <f t="shared" si="0"/>
        <v>0</v>
      </c>
      <c r="G18" s="42">
        <f t="shared" ref="G18:G25" si="1">IF(0=0,F18,0)</f>
        <v>0</v>
      </c>
      <c r="H18" s="18">
        <f t="shared" ref="H18:J18" si="2">0*1</f>
        <v>0</v>
      </c>
      <c r="I18" s="25">
        <f t="shared" si="2"/>
        <v>0</v>
      </c>
      <c r="J18" s="25">
        <f t="shared" si="2"/>
        <v>0</v>
      </c>
      <c r="K18" s="42">
        <f t="shared" ref="K18:K25" si="3">IF(0=0,J18,0)</f>
        <v>0</v>
      </c>
      <c r="L18" s="18">
        <f t="shared" ref="L18:O25" si="4">D18+H18</f>
        <v>0</v>
      </c>
      <c r="M18" s="18">
        <f t="shared" si="4"/>
        <v>0</v>
      </c>
      <c r="N18" s="18">
        <f t="shared" si="4"/>
        <v>0</v>
      </c>
      <c r="O18" s="42">
        <f t="shared" si="4"/>
        <v>0</v>
      </c>
    </row>
    <row r="19" spans="1:15" x14ac:dyDescent="0.3">
      <c r="B19" s="34">
        <v>10</v>
      </c>
      <c r="C19" s="63" t="s">
        <v>80</v>
      </c>
      <c r="D19" s="71">
        <f>-48432.7*1</f>
        <v>-48432.7</v>
      </c>
      <c r="E19" s="25">
        <f t="shared" ref="E19:F19" si="5">10000*(-1)</f>
        <v>-10000</v>
      </c>
      <c r="F19" s="25">
        <f t="shared" si="5"/>
        <v>-10000</v>
      </c>
      <c r="G19" s="42">
        <f t="shared" si="1"/>
        <v>-10000</v>
      </c>
      <c r="H19" s="18">
        <f>128621.36*1</f>
        <v>128621.36</v>
      </c>
      <c r="I19" s="25">
        <f t="shared" ref="I19:J19" si="6">60000*1</f>
        <v>60000</v>
      </c>
      <c r="J19" s="25">
        <f t="shared" si="6"/>
        <v>60000</v>
      </c>
      <c r="K19" s="42">
        <f t="shared" si="3"/>
        <v>60000</v>
      </c>
      <c r="L19" s="18">
        <f t="shared" si="4"/>
        <v>80188.66</v>
      </c>
      <c r="M19" s="18">
        <f t="shared" si="4"/>
        <v>50000</v>
      </c>
      <c r="N19" s="18">
        <f t="shared" si="4"/>
        <v>50000</v>
      </c>
      <c r="O19" s="42">
        <f t="shared" si="4"/>
        <v>50000</v>
      </c>
    </row>
    <row r="20" spans="1:15" x14ac:dyDescent="0.3">
      <c r="B20" s="34">
        <v>20</v>
      </c>
      <c r="C20" s="63" t="s">
        <v>61</v>
      </c>
      <c r="D20" s="71">
        <f>-961166.77*1</f>
        <v>-961166.77</v>
      </c>
      <c r="E20" s="25">
        <f t="shared" ref="E20:F20" si="7">1060000*(-1)</f>
        <v>-1060000</v>
      </c>
      <c r="F20" s="25">
        <f t="shared" si="7"/>
        <v>-1060000</v>
      </c>
      <c r="G20" s="42">
        <f t="shared" si="1"/>
        <v>-1060000</v>
      </c>
      <c r="H20" s="18">
        <f>974486.17*1</f>
        <v>974486.17</v>
      </c>
      <c r="I20" s="25">
        <f t="shared" ref="I20:J20" si="8">940000*1</f>
        <v>940000</v>
      </c>
      <c r="J20" s="25">
        <f t="shared" si="8"/>
        <v>940000</v>
      </c>
      <c r="K20" s="42">
        <f t="shared" si="3"/>
        <v>940000</v>
      </c>
      <c r="L20" s="18">
        <f t="shared" si="4"/>
        <v>13319.400000000023</v>
      </c>
      <c r="M20" s="18">
        <f t="shared" si="4"/>
        <v>-120000</v>
      </c>
      <c r="N20" s="18">
        <f t="shared" si="4"/>
        <v>-120000</v>
      </c>
      <c r="O20" s="42">
        <f t="shared" si="4"/>
        <v>-120000</v>
      </c>
    </row>
    <row r="21" spans="1:15" x14ac:dyDescent="0.3">
      <c r="B21" s="34">
        <v>30</v>
      </c>
      <c r="C21" s="63" t="s">
        <v>15</v>
      </c>
      <c r="D21" s="71">
        <f>-67604*1</f>
        <v>-67604</v>
      </c>
      <c r="E21" s="25">
        <f t="shared" ref="E21:F21" si="9">215000*(-1)</f>
        <v>-215000</v>
      </c>
      <c r="F21" s="25">
        <f t="shared" si="9"/>
        <v>-215000</v>
      </c>
      <c r="G21" s="42">
        <f t="shared" si="1"/>
        <v>-215000</v>
      </c>
      <c r="H21" s="18">
        <f>34020*1</f>
        <v>34020</v>
      </c>
      <c r="I21" s="25">
        <f t="shared" ref="I21:J21" si="10">212000*1</f>
        <v>212000</v>
      </c>
      <c r="J21" s="25">
        <f t="shared" si="10"/>
        <v>212000</v>
      </c>
      <c r="K21" s="42">
        <f t="shared" si="3"/>
        <v>212000</v>
      </c>
      <c r="L21" s="18">
        <f t="shared" si="4"/>
        <v>-33584</v>
      </c>
      <c r="M21" s="18">
        <f t="shared" si="4"/>
        <v>-3000</v>
      </c>
      <c r="N21" s="18">
        <f t="shared" si="4"/>
        <v>-3000</v>
      </c>
      <c r="O21" s="42">
        <f t="shared" si="4"/>
        <v>-3000</v>
      </c>
    </row>
    <row r="22" spans="1:15" x14ac:dyDescent="0.3">
      <c r="B22" s="34">
        <v>50</v>
      </c>
      <c r="C22" s="63" t="s">
        <v>28</v>
      </c>
      <c r="D22" s="71">
        <f>-151027.54*1</f>
        <v>-151027.54</v>
      </c>
      <c r="E22" s="25">
        <f t="shared" ref="E22:F22" si="11">279000*(-1)</f>
        <v>-279000</v>
      </c>
      <c r="F22" s="25">
        <f t="shared" si="11"/>
        <v>-279000</v>
      </c>
      <c r="G22" s="42">
        <f t="shared" si="1"/>
        <v>-279000</v>
      </c>
      <c r="H22" s="18">
        <f>170355.01*1</f>
        <v>170355.01</v>
      </c>
      <c r="I22" s="25">
        <f t="shared" ref="I22:J22" si="12">279000*1</f>
        <v>279000</v>
      </c>
      <c r="J22" s="25">
        <f t="shared" si="12"/>
        <v>279000</v>
      </c>
      <c r="K22" s="42">
        <f t="shared" si="3"/>
        <v>279000</v>
      </c>
      <c r="L22" s="18">
        <f t="shared" si="4"/>
        <v>19327.47</v>
      </c>
      <c r="M22" s="18">
        <f t="shared" si="4"/>
        <v>0</v>
      </c>
      <c r="N22" s="18">
        <f t="shared" si="4"/>
        <v>0</v>
      </c>
      <c r="O22" s="42">
        <f t="shared" si="4"/>
        <v>0</v>
      </c>
    </row>
    <row r="23" spans="1:15" x14ac:dyDescent="0.3">
      <c r="B23" s="34">
        <v>60</v>
      </c>
      <c r="C23" s="63" t="s">
        <v>64</v>
      </c>
      <c r="D23" s="71">
        <f>-75*1</f>
        <v>-75</v>
      </c>
      <c r="E23" s="25">
        <f t="shared" ref="E23:F23" si="13">0*(-1)</f>
        <v>0</v>
      </c>
      <c r="F23" s="25">
        <f t="shared" si="13"/>
        <v>0</v>
      </c>
      <c r="G23" s="42">
        <f t="shared" si="1"/>
        <v>0</v>
      </c>
      <c r="H23" s="18">
        <f t="shared" ref="H23:J23" si="14">0*1</f>
        <v>0</v>
      </c>
      <c r="I23" s="25">
        <f t="shared" si="14"/>
        <v>0</v>
      </c>
      <c r="J23" s="25">
        <f t="shared" si="14"/>
        <v>0</v>
      </c>
      <c r="K23" s="42">
        <f t="shared" si="3"/>
        <v>0</v>
      </c>
      <c r="L23" s="18">
        <f t="shared" si="4"/>
        <v>-75</v>
      </c>
      <c r="M23" s="18">
        <f t="shared" si="4"/>
        <v>0</v>
      </c>
      <c r="N23" s="18">
        <f t="shared" si="4"/>
        <v>0</v>
      </c>
      <c r="O23" s="42">
        <f t="shared" si="4"/>
        <v>0</v>
      </c>
    </row>
    <row r="24" spans="1:15" x14ac:dyDescent="0.3">
      <c r="B24" s="34">
        <v>70</v>
      </c>
      <c r="C24" s="63" t="s">
        <v>10</v>
      </c>
      <c r="D24" s="71">
        <f>-1624181.49*1</f>
        <v>-1624181.49</v>
      </c>
      <c r="E24" s="25">
        <f t="shared" ref="E24:F24" si="15">2338000*(-1)</f>
        <v>-2338000</v>
      </c>
      <c r="F24" s="25">
        <f t="shared" si="15"/>
        <v>-2338000</v>
      </c>
      <c r="G24" s="42">
        <f t="shared" si="1"/>
        <v>-2338000</v>
      </c>
      <c r="H24" s="18">
        <f>1662885.22*1</f>
        <v>1662885.22</v>
      </c>
      <c r="I24" s="25">
        <f t="shared" ref="I24:J24" si="16">2320000*1</f>
        <v>2320000</v>
      </c>
      <c r="J24" s="25">
        <f t="shared" si="16"/>
        <v>2320000</v>
      </c>
      <c r="K24" s="42">
        <f t="shared" si="3"/>
        <v>2320000</v>
      </c>
      <c r="L24" s="18">
        <f t="shared" si="4"/>
        <v>38703.729999999981</v>
      </c>
      <c r="M24" s="18">
        <f t="shared" si="4"/>
        <v>-18000</v>
      </c>
      <c r="N24" s="18">
        <f t="shared" si="4"/>
        <v>-18000</v>
      </c>
      <c r="O24" s="42">
        <f t="shared" si="4"/>
        <v>-18000</v>
      </c>
    </row>
    <row r="25" spans="1:15" x14ac:dyDescent="0.3">
      <c r="B25" s="34">
        <v>71</v>
      </c>
      <c r="C25" s="63" t="s">
        <v>77</v>
      </c>
      <c r="D25" s="71">
        <f>-585243.54*1</f>
        <v>-585243.54</v>
      </c>
      <c r="E25" s="25">
        <f t="shared" ref="E25:F25" si="17">600000*(-1)</f>
        <v>-600000</v>
      </c>
      <c r="F25" s="25">
        <f t="shared" si="17"/>
        <v>-600000</v>
      </c>
      <c r="G25" s="42">
        <f t="shared" si="1"/>
        <v>-600000</v>
      </c>
      <c r="H25" s="18">
        <f>585243.77*1</f>
        <v>585243.77</v>
      </c>
      <c r="I25" s="25">
        <f t="shared" ref="I25:J25" si="18">600000*1</f>
        <v>600000</v>
      </c>
      <c r="J25" s="25">
        <f t="shared" si="18"/>
        <v>600000</v>
      </c>
      <c r="K25" s="42">
        <f t="shared" si="3"/>
        <v>600000</v>
      </c>
      <c r="L25" s="18">
        <f t="shared" si="4"/>
        <v>0.22999999998137355</v>
      </c>
      <c r="M25" s="18">
        <f t="shared" si="4"/>
        <v>0</v>
      </c>
      <c r="N25" s="18">
        <f t="shared" si="4"/>
        <v>0</v>
      </c>
      <c r="O25" s="42">
        <f t="shared" si="4"/>
        <v>0</v>
      </c>
    </row>
    <row r="26" spans="1:15" x14ac:dyDescent="0.3">
      <c r="A26" s="50"/>
      <c r="B26" s="33"/>
      <c r="C26" s="69"/>
      <c r="D26" s="64"/>
      <c r="E26" s="6"/>
      <c r="F26" s="6"/>
      <c r="G26" s="13"/>
      <c r="H26" s="23"/>
      <c r="I26" s="6"/>
      <c r="J26" s="6"/>
      <c r="K26" s="13"/>
      <c r="L26" s="23"/>
      <c r="M26" s="6"/>
      <c r="N26" s="6"/>
      <c r="O26" s="13"/>
    </row>
    <row r="27" spans="1:15" x14ac:dyDescent="0.3">
      <c r="A27" s="50"/>
      <c r="B27" s="33"/>
      <c r="C27" s="70"/>
      <c r="D27" s="66"/>
      <c r="E27" s="5"/>
      <c r="F27" s="5"/>
      <c r="G27" s="12"/>
      <c r="H27" s="24"/>
      <c r="I27" s="5"/>
      <c r="J27" s="5"/>
      <c r="K27" s="12"/>
      <c r="L27" s="24"/>
      <c r="M27" s="5"/>
      <c r="N27" s="5"/>
      <c r="O27" s="12"/>
    </row>
    <row r="28" spans="1:15" ht="15" thickBot="1" x14ac:dyDescent="0.35">
      <c r="A28" s="52"/>
      <c r="B28" s="31"/>
      <c r="C28" s="31" t="s">
        <v>9</v>
      </c>
      <c r="D28" s="26">
        <f t="shared" ref="D28:K28" si="19">SUM(D18:D25)</f>
        <v>-3437731.04</v>
      </c>
      <c r="E28" s="40">
        <f t="shared" si="19"/>
        <v>-4502000</v>
      </c>
      <c r="F28" s="40">
        <f t="shared" si="19"/>
        <v>-4502000</v>
      </c>
      <c r="G28" s="61">
        <f t="shared" si="19"/>
        <v>-4502000</v>
      </c>
      <c r="H28" s="59">
        <f t="shared" si="19"/>
        <v>3555611.53</v>
      </c>
      <c r="I28" s="40">
        <f t="shared" si="19"/>
        <v>4411000</v>
      </c>
      <c r="J28" s="40">
        <f t="shared" si="19"/>
        <v>4411000</v>
      </c>
      <c r="K28" s="61">
        <f t="shared" si="19"/>
        <v>4411000</v>
      </c>
      <c r="L28" s="59">
        <f t="shared" ref="L28:O28" si="20">D28+H28</f>
        <v>117880.48999999976</v>
      </c>
      <c r="M28" s="59">
        <f t="shared" si="20"/>
        <v>-91000</v>
      </c>
      <c r="N28" s="59">
        <f t="shared" si="20"/>
        <v>-91000</v>
      </c>
      <c r="O28" s="61">
        <f t="shared" si="20"/>
        <v>-91000</v>
      </c>
    </row>
    <row r="29" spans="1:15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3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46</v>
      </c>
      <c r="H8" s="41" t="s">
        <v>64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SUM(D19)</f>
        <v>-75</v>
      </c>
      <c r="E16" s="16">
        <f t="shared" si="0"/>
        <v>0</v>
      </c>
      <c r="F16" s="16">
        <f t="shared" si="0"/>
        <v>0</v>
      </c>
      <c r="G16" s="17">
        <f t="shared" si="0"/>
        <v>0</v>
      </c>
      <c r="H16" s="10">
        <f t="shared" si="0"/>
        <v>0</v>
      </c>
      <c r="I16" s="16">
        <f t="shared" si="0"/>
        <v>0</v>
      </c>
      <c r="J16" s="16">
        <f t="shared" si="0"/>
        <v>0</v>
      </c>
      <c r="K16" s="17">
        <f t="shared" si="0"/>
        <v>0</v>
      </c>
      <c r="L16" s="10">
        <f t="shared" ref="L16:O16" si="1">D16+H16</f>
        <v>-75</v>
      </c>
      <c r="M16" s="10">
        <f t="shared" si="1"/>
        <v>0</v>
      </c>
      <c r="N16" s="10">
        <f t="shared" si="1"/>
        <v>0</v>
      </c>
      <c r="O16" s="17">
        <f t="shared" si="1"/>
        <v>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B19" s="33">
        <v>60100</v>
      </c>
      <c r="C19" s="33" t="s">
        <v>63</v>
      </c>
      <c r="D19" s="18">
        <f>-75*(1)</f>
        <v>-75</v>
      </c>
      <c r="E19" s="25">
        <f t="shared" ref="E19:F19" si="2">0*(-1)</f>
        <v>0</v>
      </c>
      <c r="F19" s="25">
        <f t="shared" si="2"/>
        <v>0</v>
      </c>
      <c r="G19" s="49">
        <f>IF(0=0,F19,0)</f>
        <v>0</v>
      </c>
      <c r="H19" s="18">
        <f t="shared" ref="H19:J19" si="3">0*1</f>
        <v>0</v>
      </c>
      <c r="I19" s="25">
        <f t="shared" si="3"/>
        <v>0</v>
      </c>
      <c r="J19" s="25">
        <f t="shared" si="3"/>
        <v>0</v>
      </c>
      <c r="K19" s="49">
        <f>IF(0=0,J19,0)</f>
        <v>0</v>
      </c>
      <c r="L19" s="18">
        <f t="shared" ref="L19:O19" si="4">D19+H19</f>
        <v>-75</v>
      </c>
      <c r="M19" s="18">
        <f t="shared" si="4"/>
        <v>0</v>
      </c>
      <c r="N19" s="18">
        <f t="shared" si="4"/>
        <v>0</v>
      </c>
      <c r="O19" s="42">
        <f t="shared" si="4"/>
        <v>0</v>
      </c>
      <c r="P19" s="60"/>
    </row>
    <row r="20" spans="1:16" x14ac:dyDescent="0.3">
      <c r="A20" s="50"/>
      <c r="B20" s="33"/>
      <c r="C20" s="33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x14ac:dyDescent="0.3">
      <c r="A21" s="50"/>
      <c r="B21" s="38"/>
      <c r="C21" s="38"/>
      <c r="D21" s="24"/>
      <c r="E21" s="5"/>
      <c r="F21" s="5"/>
      <c r="G21" s="12"/>
      <c r="H21" s="24"/>
      <c r="I21" s="5"/>
      <c r="J21" s="5"/>
      <c r="K21" s="12"/>
      <c r="L21" s="24"/>
      <c r="M21" s="5"/>
      <c r="N21" s="5"/>
      <c r="O21" s="12"/>
      <c r="P21" s="12"/>
    </row>
    <row r="22" spans="1:16" ht="15" thickBot="1" x14ac:dyDescent="0.35">
      <c r="A22" s="52"/>
      <c r="B22" s="31"/>
      <c r="C22" s="31" t="s">
        <v>9</v>
      </c>
      <c r="D22" s="39">
        <f t="shared" ref="D22:K22" si="5">SUM(D19)</f>
        <v>-75</v>
      </c>
      <c r="E22" s="28">
        <f t="shared" si="5"/>
        <v>0</v>
      </c>
      <c r="F22" s="28">
        <f t="shared" si="5"/>
        <v>0</v>
      </c>
      <c r="G22" s="27">
        <f t="shared" si="5"/>
        <v>0</v>
      </c>
      <c r="H22" s="39">
        <f t="shared" si="5"/>
        <v>0</v>
      </c>
      <c r="I22" s="28">
        <f t="shared" si="5"/>
        <v>0</v>
      </c>
      <c r="J22" s="40">
        <f t="shared" si="5"/>
        <v>0</v>
      </c>
      <c r="K22" s="27">
        <f t="shared" si="5"/>
        <v>0</v>
      </c>
      <c r="L22" s="26">
        <f t="shared" ref="L22:O22" si="6">D22+H22</f>
        <v>-75</v>
      </c>
      <c r="M22" s="26">
        <f t="shared" si="6"/>
        <v>0</v>
      </c>
      <c r="N22" s="26">
        <f t="shared" si="6"/>
        <v>0</v>
      </c>
      <c r="O22" s="27">
        <f t="shared" si="6"/>
        <v>0</v>
      </c>
      <c r="P22" s="56"/>
    </row>
    <row r="23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29</v>
      </c>
      <c r="H8" s="41" t="s">
        <v>10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SUM(D19:D37)</f>
        <v>-1624181.49</v>
      </c>
      <c r="E16" s="16">
        <f t="shared" si="0"/>
        <v>-2338000</v>
      </c>
      <c r="F16" s="16">
        <f t="shared" si="0"/>
        <v>-2338000</v>
      </c>
      <c r="G16" s="17">
        <f t="shared" si="0"/>
        <v>-2338000</v>
      </c>
      <c r="H16" s="10">
        <f t="shared" si="0"/>
        <v>1662885.22</v>
      </c>
      <c r="I16" s="16">
        <f t="shared" si="0"/>
        <v>2320000</v>
      </c>
      <c r="J16" s="16">
        <f t="shared" si="0"/>
        <v>2320000</v>
      </c>
      <c r="K16" s="17">
        <f t="shared" si="0"/>
        <v>2320000</v>
      </c>
      <c r="L16" s="10">
        <f t="shared" ref="L16:O16" si="1">D16+H16</f>
        <v>38703.729999999981</v>
      </c>
      <c r="M16" s="10">
        <f t="shared" si="1"/>
        <v>-18000</v>
      </c>
      <c r="N16" s="10">
        <f t="shared" si="1"/>
        <v>-18000</v>
      </c>
      <c r="O16" s="17">
        <f t="shared" si="1"/>
        <v>-18000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B19" s="33">
        <v>70001</v>
      </c>
      <c r="C19" s="33" t="s">
        <v>33</v>
      </c>
      <c r="D19" s="18">
        <f>0*(1)</f>
        <v>0</v>
      </c>
      <c r="E19" s="25">
        <f t="shared" ref="E19:F19" si="2">18000*(-1)</f>
        <v>-18000</v>
      </c>
      <c r="F19" s="25">
        <f t="shared" si="2"/>
        <v>-18000</v>
      </c>
      <c r="G19" s="49">
        <f t="shared" ref="G19:G37" si="3">IF(0=0,F19,0)</f>
        <v>-18000</v>
      </c>
      <c r="H19" s="18">
        <f>36039*1</f>
        <v>36039</v>
      </c>
      <c r="I19" s="25">
        <f t="shared" ref="I19:J19" si="4">15000*1</f>
        <v>15000</v>
      </c>
      <c r="J19" s="25">
        <f t="shared" si="4"/>
        <v>15000</v>
      </c>
      <c r="K19" s="49">
        <f t="shared" ref="K19:K37" si="5">IF(0=0,J19,0)</f>
        <v>15000</v>
      </c>
      <c r="L19" s="18">
        <f t="shared" ref="L19:O37" si="6">D19+H19</f>
        <v>36039</v>
      </c>
      <c r="M19" s="18">
        <f t="shared" si="6"/>
        <v>-3000</v>
      </c>
      <c r="N19" s="18">
        <f t="shared" si="6"/>
        <v>-3000</v>
      </c>
      <c r="O19" s="42">
        <f t="shared" si="6"/>
        <v>-3000</v>
      </c>
      <c r="P19" s="60"/>
    </row>
    <row r="20" spans="1:16" x14ac:dyDescent="0.3">
      <c r="B20" s="33">
        <v>70002</v>
      </c>
      <c r="C20" s="33" t="s">
        <v>23</v>
      </c>
      <c r="D20" s="18">
        <f>-48000*(1)</f>
        <v>-48000</v>
      </c>
      <c r="E20" s="25">
        <f t="shared" ref="E20:F20" si="7">125000*(-1)</f>
        <v>-125000</v>
      </c>
      <c r="F20" s="25">
        <f t="shared" si="7"/>
        <v>-125000</v>
      </c>
      <c r="G20" s="49">
        <f t="shared" si="3"/>
        <v>-125000</v>
      </c>
      <c r="H20" s="18">
        <f>83540.45*1</f>
        <v>83540.45</v>
      </c>
      <c r="I20" s="25">
        <f t="shared" ref="I20:J20" si="8">140000*1</f>
        <v>140000</v>
      </c>
      <c r="J20" s="25">
        <f t="shared" si="8"/>
        <v>140000</v>
      </c>
      <c r="K20" s="49">
        <f t="shared" si="5"/>
        <v>140000</v>
      </c>
      <c r="L20" s="18">
        <f t="shared" si="6"/>
        <v>35540.449999999997</v>
      </c>
      <c r="M20" s="18">
        <f t="shared" si="6"/>
        <v>15000</v>
      </c>
      <c r="N20" s="18">
        <f t="shared" si="6"/>
        <v>15000</v>
      </c>
      <c r="O20" s="42">
        <f t="shared" si="6"/>
        <v>15000</v>
      </c>
      <c r="P20" s="60"/>
    </row>
    <row r="21" spans="1:16" x14ac:dyDescent="0.3">
      <c r="B21" s="33">
        <v>70003</v>
      </c>
      <c r="C21" s="33" t="s">
        <v>38</v>
      </c>
      <c r="D21" s="18">
        <f>-191100*(1)</f>
        <v>-191100</v>
      </c>
      <c r="E21" s="25">
        <f t="shared" ref="E21:F21" si="9">100000*(-1)</f>
        <v>-100000</v>
      </c>
      <c r="F21" s="25">
        <f t="shared" si="9"/>
        <v>-100000</v>
      </c>
      <c r="G21" s="49">
        <f t="shared" si="3"/>
        <v>-100000</v>
      </c>
      <c r="H21" s="18">
        <f>198638.24*1</f>
        <v>198638.24</v>
      </c>
      <c r="I21" s="25">
        <f t="shared" ref="I21:J21" si="10">115000*1</f>
        <v>115000</v>
      </c>
      <c r="J21" s="25">
        <f t="shared" si="10"/>
        <v>115000</v>
      </c>
      <c r="K21" s="49">
        <f t="shared" si="5"/>
        <v>115000</v>
      </c>
      <c r="L21" s="18">
        <f t="shared" si="6"/>
        <v>7538.2399999999907</v>
      </c>
      <c r="M21" s="18">
        <f t="shared" si="6"/>
        <v>15000</v>
      </c>
      <c r="N21" s="18">
        <f t="shared" si="6"/>
        <v>15000</v>
      </c>
      <c r="O21" s="42">
        <f t="shared" si="6"/>
        <v>15000</v>
      </c>
      <c r="P21" s="60"/>
    </row>
    <row r="22" spans="1:16" x14ac:dyDescent="0.3">
      <c r="B22" s="33">
        <v>70005</v>
      </c>
      <c r="C22" s="33" t="s">
        <v>39</v>
      </c>
      <c r="D22" s="18">
        <f>-122290.7*(1)</f>
        <v>-122290.7</v>
      </c>
      <c r="E22" s="25">
        <f t="shared" ref="E22:F22" si="11">30000*(-1)</f>
        <v>-30000</v>
      </c>
      <c r="F22" s="25">
        <f t="shared" si="11"/>
        <v>-30000</v>
      </c>
      <c r="G22" s="49">
        <f t="shared" si="3"/>
        <v>-30000</v>
      </c>
      <c r="H22" s="18">
        <f>156140.9*1</f>
        <v>156140.9</v>
      </c>
      <c r="I22" s="25">
        <f t="shared" ref="I22:J22" si="12">30000*1</f>
        <v>30000</v>
      </c>
      <c r="J22" s="25">
        <f t="shared" si="12"/>
        <v>30000</v>
      </c>
      <c r="K22" s="49">
        <f t="shared" si="5"/>
        <v>30000</v>
      </c>
      <c r="L22" s="18">
        <f t="shared" si="6"/>
        <v>33850.199999999997</v>
      </c>
      <c r="M22" s="18">
        <f t="shared" si="6"/>
        <v>0</v>
      </c>
      <c r="N22" s="18">
        <f t="shared" si="6"/>
        <v>0</v>
      </c>
      <c r="O22" s="42">
        <f t="shared" si="6"/>
        <v>0</v>
      </c>
      <c r="P22" s="60"/>
    </row>
    <row r="23" spans="1:16" x14ac:dyDescent="0.3">
      <c r="B23" s="33">
        <v>70006</v>
      </c>
      <c r="C23" s="33" t="s">
        <v>6</v>
      </c>
      <c r="D23" s="18">
        <f>0*(1)</f>
        <v>0</v>
      </c>
      <c r="E23" s="25">
        <f t="shared" ref="E23:F23" si="13">60000*(-1)</f>
        <v>-60000</v>
      </c>
      <c r="F23" s="25">
        <f t="shared" si="13"/>
        <v>-60000</v>
      </c>
      <c r="G23" s="49">
        <f t="shared" si="3"/>
        <v>-60000</v>
      </c>
      <c r="H23" s="18">
        <f>0*1</f>
        <v>0</v>
      </c>
      <c r="I23" s="25">
        <f t="shared" ref="I23:J23" si="14">80000*1</f>
        <v>80000</v>
      </c>
      <c r="J23" s="25">
        <f t="shared" si="14"/>
        <v>80000</v>
      </c>
      <c r="K23" s="49">
        <f t="shared" si="5"/>
        <v>80000</v>
      </c>
      <c r="L23" s="18">
        <f t="shared" si="6"/>
        <v>0</v>
      </c>
      <c r="M23" s="18">
        <f t="shared" si="6"/>
        <v>20000</v>
      </c>
      <c r="N23" s="18">
        <f t="shared" si="6"/>
        <v>20000</v>
      </c>
      <c r="O23" s="42">
        <f t="shared" si="6"/>
        <v>20000</v>
      </c>
      <c r="P23" s="60"/>
    </row>
    <row r="24" spans="1:16" x14ac:dyDescent="0.3">
      <c r="B24" s="33">
        <v>70100</v>
      </c>
      <c r="C24" s="33" t="s">
        <v>47</v>
      </c>
      <c r="D24" s="18">
        <f>-532112.5*(1)</f>
        <v>-532112.5</v>
      </c>
      <c r="E24" s="25">
        <f t="shared" ref="E24:F24" si="15">460000*(-1)</f>
        <v>-460000</v>
      </c>
      <c r="F24" s="25">
        <f t="shared" si="15"/>
        <v>-460000</v>
      </c>
      <c r="G24" s="49">
        <f t="shared" si="3"/>
        <v>-460000</v>
      </c>
      <c r="H24" s="18">
        <f>161452.74*1</f>
        <v>161452.74</v>
      </c>
      <c r="I24" s="25">
        <f t="shared" ref="I24:J24" si="16">180000*1</f>
        <v>180000</v>
      </c>
      <c r="J24" s="25">
        <f t="shared" si="16"/>
        <v>180000</v>
      </c>
      <c r="K24" s="49">
        <f t="shared" si="5"/>
        <v>180000</v>
      </c>
      <c r="L24" s="18">
        <f t="shared" si="6"/>
        <v>-370659.76</v>
      </c>
      <c r="M24" s="18">
        <f t="shared" si="6"/>
        <v>-280000</v>
      </c>
      <c r="N24" s="18">
        <f t="shared" si="6"/>
        <v>-280000</v>
      </c>
      <c r="O24" s="42">
        <f t="shared" si="6"/>
        <v>-280000</v>
      </c>
      <c r="P24" s="60"/>
    </row>
    <row r="25" spans="1:16" x14ac:dyDescent="0.3">
      <c r="B25" s="33">
        <v>70110</v>
      </c>
      <c r="C25" s="33" t="s">
        <v>34</v>
      </c>
      <c r="D25" s="18">
        <f>-61398*(1)</f>
        <v>-61398</v>
      </c>
      <c r="E25" s="25">
        <f t="shared" ref="E25:F25" si="17">100000*(-1)</f>
        <v>-100000</v>
      </c>
      <c r="F25" s="25">
        <f t="shared" si="17"/>
        <v>-100000</v>
      </c>
      <c r="G25" s="49">
        <f t="shared" si="3"/>
        <v>-100000</v>
      </c>
      <c r="H25" s="18">
        <f>91239.11*1</f>
        <v>91239.11</v>
      </c>
      <c r="I25" s="25">
        <f t="shared" ref="I25:J25" si="18">185000*1</f>
        <v>185000</v>
      </c>
      <c r="J25" s="25">
        <f t="shared" si="18"/>
        <v>185000</v>
      </c>
      <c r="K25" s="49">
        <f t="shared" si="5"/>
        <v>185000</v>
      </c>
      <c r="L25" s="18">
        <f t="shared" si="6"/>
        <v>29841.11</v>
      </c>
      <c r="M25" s="18">
        <f t="shared" si="6"/>
        <v>85000</v>
      </c>
      <c r="N25" s="18">
        <f t="shared" si="6"/>
        <v>85000</v>
      </c>
      <c r="O25" s="42">
        <f t="shared" si="6"/>
        <v>85000</v>
      </c>
      <c r="P25" s="60"/>
    </row>
    <row r="26" spans="1:16" x14ac:dyDescent="0.3">
      <c r="B26" s="33">
        <v>70210</v>
      </c>
      <c r="C26" s="33" t="s">
        <v>74</v>
      </c>
      <c r="D26" s="18">
        <f t="shared" ref="D26:D31" si="19">0*(1)</f>
        <v>0</v>
      </c>
      <c r="E26" s="25">
        <f t="shared" ref="E26:F27" si="20">150000*(-1)</f>
        <v>-150000</v>
      </c>
      <c r="F26" s="25">
        <f t="shared" si="20"/>
        <v>-150000</v>
      </c>
      <c r="G26" s="49">
        <f t="shared" si="3"/>
        <v>-150000</v>
      </c>
      <c r="H26" s="18">
        <f t="shared" ref="H26:H31" si="21">0*1</f>
        <v>0</v>
      </c>
      <c r="I26" s="25">
        <f t="shared" ref="I26:J27" si="22">175000*1</f>
        <v>175000</v>
      </c>
      <c r="J26" s="25">
        <f t="shared" si="22"/>
        <v>175000</v>
      </c>
      <c r="K26" s="49">
        <f t="shared" si="5"/>
        <v>175000</v>
      </c>
      <c r="L26" s="18">
        <f t="shared" si="6"/>
        <v>0</v>
      </c>
      <c r="M26" s="18">
        <f t="shared" si="6"/>
        <v>25000</v>
      </c>
      <c r="N26" s="18">
        <f t="shared" si="6"/>
        <v>25000</v>
      </c>
      <c r="O26" s="42">
        <f t="shared" si="6"/>
        <v>25000</v>
      </c>
      <c r="P26" s="60"/>
    </row>
    <row r="27" spans="1:16" x14ac:dyDescent="0.3">
      <c r="B27" s="33">
        <v>70220</v>
      </c>
      <c r="C27" s="33" t="s">
        <v>12</v>
      </c>
      <c r="D27" s="18">
        <f t="shared" si="19"/>
        <v>0</v>
      </c>
      <c r="E27" s="25">
        <f t="shared" si="20"/>
        <v>-150000</v>
      </c>
      <c r="F27" s="25">
        <f t="shared" si="20"/>
        <v>-150000</v>
      </c>
      <c r="G27" s="49">
        <f t="shared" si="3"/>
        <v>-150000</v>
      </c>
      <c r="H27" s="18">
        <f t="shared" si="21"/>
        <v>0</v>
      </c>
      <c r="I27" s="25">
        <f t="shared" si="22"/>
        <v>175000</v>
      </c>
      <c r="J27" s="25">
        <f t="shared" si="22"/>
        <v>175000</v>
      </c>
      <c r="K27" s="49">
        <f t="shared" si="5"/>
        <v>175000</v>
      </c>
      <c r="L27" s="18">
        <f t="shared" si="6"/>
        <v>0</v>
      </c>
      <c r="M27" s="18">
        <f t="shared" si="6"/>
        <v>25000</v>
      </c>
      <c r="N27" s="18">
        <f t="shared" si="6"/>
        <v>25000</v>
      </c>
      <c r="O27" s="42">
        <f t="shared" si="6"/>
        <v>25000</v>
      </c>
      <c r="P27" s="60"/>
    </row>
    <row r="28" spans="1:16" x14ac:dyDescent="0.3">
      <c r="B28" s="33">
        <v>70230</v>
      </c>
      <c r="C28" s="33" t="s">
        <v>30</v>
      </c>
      <c r="D28" s="18">
        <f t="shared" si="19"/>
        <v>0</v>
      </c>
      <c r="E28" s="25">
        <f t="shared" ref="E28:F28" si="23">180000*(-1)</f>
        <v>-180000</v>
      </c>
      <c r="F28" s="25">
        <f t="shared" si="23"/>
        <v>-180000</v>
      </c>
      <c r="G28" s="49">
        <f t="shared" si="3"/>
        <v>-180000</v>
      </c>
      <c r="H28" s="18">
        <f t="shared" si="21"/>
        <v>0</v>
      </c>
      <c r="I28" s="25">
        <f t="shared" ref="I28:J28" si="24">200000*1</f>
        <v>200000</v>
      </c>
      <c r="J28" s="25">
        <f t="shared" si="24"/>
        <v>200000</v>
      </c>
      <c r="K28" s="49">
        <f t="shared" si="5"/>
        <v>200000</v>
      </c>
      <c r="L28" s="18">
        <f t="shared" si="6"/>
        <v>0</v>
      </c>
      <c r="M28" s="18">
        <f t="shared" si="6"/>
        <v>20000</v>
      </c>
      <c r="N28" s="18">
        <f t="shared" si="6"/>
        <v>20000</v>
      </c>
      <c r="O28" s="42">
        <f t="shared" si="6"/>
        <v>20000</v>
      </c>
      <c r="P28" s="60"/>
    </row>
    <row r="29" spans="1:16" x14ac:dyDescent="0.3">
      <c r="B29" s="33">
        <v>70240</v>
      </c>
      <c r="C29" s="33" t="s">
        <v>56</v>
      </c>
      <c r="D29" s="18">
        <f t="shared" si="19"/>
        <v>0</v>
      </c>
      <c r="E29" s="25">
        <f t="shared" ref="E29:F29" si="25">50000*(-1)</f>
        <v>-50000</v>
      </c>
      <c r="F29" s="25">
        <f t="shared" si="25"/>
        <v>-50000</v>
      </c>
      <c r="G29" s="49">
        <f t="shared" si="3"/>
        <v>-50000</v>
      </c>
      <c r="H29" s="18">
        <f t="shared" si="21"/>
        <v>0</v>
      </c>
      <c r="I29" s="25">
        <f t="shared" ref="I29:J29" si="26">65000*1</f>
        <v>65000</v>
      </c>
      <c r="J29" s="25">
        <f t="shared" si="26"/>
        <v>65000</v>
      </c>
      <c r="K29" s="49">
        <f t="shared" si="5"/>
        <v>65000</v>
      </c>
      <c r="L29" s="18">
        <f t="shared" si="6"/>
        <v>0</v>
      </c>
      <c r="M29" s="18">
        <f t="shared" si="6"/>
        <v>15000</v>
      </c>
      <c r="N29" s="18">
        <f t="shared" si="6"/>
        <v>15000</v>
      </c>
      <c r="O29" s="42">
        <f t="shared" si="6"/>
        <v>15000</v>
      </c>
      <c r="P29" s="60"/>
    </row>
    <row r="30" spans="1:16" x14ac:dyDescent="0.3">
      <c r="B30" s="33">
        <v>70300</v>
      </c>
      <c r="C30" s="33" t="s">
        <v>32</v>
      </c>
      <c r="D30" s="18">
        <f t="shared" si="19"/>
        <v>0</v>
      </c>
      <c r="E30" s="25">
        <f t="shared" ref="E30:F30" si="27">200000*(-1)</f>
        <v>-200000</v>
      </c>
      <c r="F30" s="25">
        <f t="shared" si="27"/>
        <v>-200000</v>
      </c>
      <c r="G30" s="49">
        <f t="shared" si="3"/>
        <v>-200000</v>
      </c>
      <c r="H30" s="18">
        <f t="shared" si="21"/>
        <v>0</v>
      </c>
      <c r="I30" s="25">
        <f t="shared" ref="I30:J30" si="28">220000*1</f>
        <v>220000</v>
      </c>
      <c r="J30" s="25">
        <f t="shared" si="28"/>
        <v>220000</v>
      </c>
      <c r="K30" s="49">
        <f t="shared" si="5"/>
        <v>220000</v>
      </c>
      <c r="L30" s="18">
        <f t="shared" si="6"/>
        <v>0</v>
      </c>
      <c r="M30" s="18">
        <f t="shared" si="6"/>
        <v>20000</v>
      </c>
      <c r="N30" s="18">
        <f t="shared" si="6"/>
        <v>20000</v>
      </c>
      <c r="O30" s="42">
        <f t="shared" si="6"/>
        <v>20000</v>
      </c>
      <c r="P30" s="60"/>
    </row>
    <row r="31" spans="1:16" x14ac:dyDescent="0.3">
      <c r="B31" s="33">
        <v>70310</v>
      </c>
      <c r="C31" s="33" t="s">
        <v>70</v>
      </c>
      <c r="D31" s="18">
        <f t="shared" si="19"/>
        <v>0</v>
      </c>
      <c r="E31" s="25">
        <f t="shared" ref="E31:F31" si="29">0*(-1)</f>
        <v>0</v>
      </c>
      <c r="F31" s="25">
        <f t="shared" si="29"/>
        <v>0</v>
      </c>
      <c r="G31" s="49">
        <f t="shared" si="3"/>
        <v>0</v>
      </c>
      <c r="H31" s="18">
        <f t="shared" si="21"/>
        <v>0</v>
      </c>
      <c r="I31" s="25">
        <f t="shared" ref="I31:J31" si="30">20000*1</f>
        <v>20000</v>
      </c>
      <c r="J31" s="25">
        <f t="shared" si="30"/>
        <v>20000</v>
      </c>
      <c r="K31" s="49">
        <f t="shared" si="5"/>
        <v>20000</v>
      </c>
      <c r="L31" s="18">
        <f t="shared" si="6"/>
        <v>0</v>
      </c>
      <c r="M31" s="18">
        <f t="shared" si="6"/>
        <v>20000</v>
      </c>
      <c r="N31" s="18">
        <f t="shared" si="6"/>
        <v>20000</v>
      </c>
      <c r="O31" s="42">
        <f t="shared" si="6"/>
        <v>20000</v>
      </c>
      <c r="P31" s="60"/>
    </row>
    <row r="32" spans="1:16" x14ac:dyDescent="0.3">
      <c r="B32" s="33">
        <v>70400</v>
      </c>
      <c r="C32" s="33" t="s">
        <v>40</v>
      </c>
      <c r="D32" s="18">
        <f>-544599.29*(1)</f>
        <v>-544599.29</v>
      </c>
      <c r="E32" s="25">
        <f t="shared" ref="E32:F32" si="31">615000*(-1)</f>
        <v>-615000</v>
      </c>
      <c r="F32" s="25">
        <f t="shared" si="31"/>
        <v>-615000</v>
      </c>
      <c r="G32" s="49">
        <f t="shared" si="3"/>
        <v>-615000</v>
      </c>
      <c r="H32" s="18">
        <f>601623.23*1</f>
        <v>601623.23</v>
      </c>
      <c r="I32" s="25">
        <f t="shared" ref="I32:J32" si="32">500000*1</f>
        <v>500000</v>
      </c>
      <c r="J32" s="25">
        <f t="shared" si="32"/>
        <v>500000</v>
      </c>
      <c r="K32" s="49">
        <f t="shared" si="5"/>
        <v>500000</v>
      </c>
      <c r="L32" s="18">
        <f t="shared" si="6"/>
        <v>57023.939999999944</v>
      </c>
      <c r="M32" s="18">
        <f t="shared" si="6"/>
        <v>-115000</v>
      </c>
      <c r="N32" s="18">
        <f t="shared" si="6"/>
        <v>-115000</v>
      </c>
      <c r="O32" s="42">
        <f t="shared" si="6"/>
        <v>-115000</v>
      </c>
      <c r="P32" s="60"/>
    </row>
    <row r="33" spans="1:16" x14ac:dyDescent="0.3">
      <c r="B33" s="33">
        <v>70500</v>
      </c>
      <c r="C33" s="33" t="s">
        <v>48</v>
      </c>
      <c r="D33" s="18">
        <f>-91851*(1)</f>
        <v>-91851</v>
      </c>
      <c r="E33" s="25">
        <f t="shared" ref="E33:F33" si="33">100000*(-1)</f>
        <v>-100000</v>
      </c>
      <c r="F33" s="25">
        <f t="shared" si="33"/>
        <v>-100000</v>
      </c>
      <c r="G33" s="49">
        <f t="shared" si="3"/>
        <v>-100000</v>
      </c>
      <c r="H33" s="18">
        <f>162416.71*1</f>
        <v>162416.71</v>
      </c>
      <c r="I33" s="25">
        <f t="shared" ref="I33:J33" si="34">160000*1</f>
        <v>160000</v>
      </c>
      <c r="J33" s="25">
        <f t="shared" si="34"/>
        <v>160000</v>
      </c>
      <c r="K33" s="49">
        <f t="shared" si="5"/>
        <v>160000</v>
      </c>
      <c r="L33" s="18">
        <f t="shared" si="6"/>
        <v>70565.709999999992</v>
      </c>
      <c r="M33" s="18">
        <f t="shared" si="6"/>
        <v>60000</v>
      </c>
      <c r="N33" s="18">
        <f t="shared" si="6"/>
        <v>60000</v>
      </c>
      <c r="O33" s="42">
        <f t="shared" si="6"/>
        <v>60000</v>
      </c>
      <c r="P33" s="60"/>
    </row>
    <row r="34" spans="1:16" x14ac:dyDescent="0.3">
      <c r="B34" s="33">
        <v>70510</v>
      </c>
      <c r="C34" s="33" t="s">
        <v>60</v>
      </c>
      <c r="D34" s="18">
        <f>-25000*(1)</f>
        <v>-25000</v>
      </c>
      <c r="E34" s="25">
        <f t="shared" ref="E34:F37" si="35">0*(-1)</f>
        <v>0</v>
      </c>
      <c r="F34" s="25">
        <f t="shared" si="35"/>
        <v>0</v>
      </c>
      <c r="G34" s="49">
        <f t="shared" si="3"/>
        <v>0</v>
      </c>
      <c r="H34" s="18">
        <f>113627.22*1</f>
        <v>113627.22</v>
      </c>
      <c r="I34" s="25">
        <f t="shared" ref="I34:J34" si="36">0*1</f>
        <v>0</v>
      </c>
      <c r="J34" s="25">
        <f t="shared" si="36"/>
        <v>0</v>
      </c>
      <c r="K34" s="49">
        <f t="shared" si="5"/>
        <v>0</v>
      </c>
      <c r="L34" s="18">
        <f t="shared" si="6"/>
        <v>88627.22</v>
      </c>
      <c r="M34" s="18">
        <f t="shared" si="6"/>
        <v>0</v>
      </c>
      <c r="N34" s="18">
        <f t="shared" si="6"/>
        <v>0</v>
      </c>
      <c r="O34" s="42">
        <f t="shared" si="6"/>
        <v>0</v>
      </c>
      <c r="P34" s="60"/>
    </row>
    <row r="35" spans="1:16" x14ac:dyDescent="0.3">
      <c r="B35" s="33">
        <v>70600</v>
      </c>
      <c r="C35" s="33" t="s">
        <v>49</v>
      </c>
      <c r="D35" s="18">
        <f>-7830*(1)</f>
        <v>-7830</v>
      </c>
      <c r="E35" s="25">
        <f t="shared" si="35"/>
        <v>0</v>
      </c>
      <c r="F35" s="25">
        <f t="shared" si="35"/>
        <v>0</v>
      </c>
      <c r="G35" s="49">
        <f t="shared" si="3"/>
        <v>0</v>
      </c>
      <c r="H35" s="18">
        <f>58167.62*1</f>
        <v>58167.62</v>
      </c>
      <c r="I35" s="25">
        <f t="shared" ref="I35:J35" si="37">40000*1</f>
        <v>40000</v>
      </c>
      <c r="J35" s="25">
        <f t="shared" si="37"/>
        <v>40000</v>
      </c>
      <c r="K35" s="49">
        <f t="shared" si="5"/>
        <v>40000</v>
      </c>
      <c r="L35" s="18">
        <f t="shared" si="6"/>
        <v>50337.62</v>
      </c>
      <c r="M35" s="18">
        <f t="shared" si="6"/>
        <v>40000</v>
      </c>
      <c r="N35" s="18">
        <f t="shared" si="6"/>
        <v>40000</v>
      </c>
      <c r="O35" s="42">
        <f t="shared" si="6"/>
        <v>40000</v>
      </c>
      <c r="P35" s="60"/>
    </row>
    <row r="36" spans="1:16" x14ac:dyDescent="0.3">
      <c r="B36" s="33">
        <v>70650</v>
      </c>
      <c r="C36" s="33" t="s">
        <v>8</v>
      </c>
      <c r="D36" s="18">
        <f t="shared" ref="D36:D37" si="38">0*(1)</f>
        <v>0</v>
      </c>
      <c r="E36" s="25">
        <f t="shared" si="35"/>
        <v>0</v>
      </c>
      <c r="F36" s="25">
        <f t="shared" si="35"/>
        <v>0</v>
      </c>
      <c r="G36" s="49">
        <f t="shared" si="3"/>
        <v>0</v>
      </c>
      <c r="H36" s="18">
        <f t="shared" ref="H36:H37" si="39">0*1</f>
        <v>0</v>
      </c>
      <c r="I36" s="25">
        <f t="shared" ref="I36:J36" si="40">20000*1</f>
        <v>20000</v>
      </c>
      <c r="J36" s="25">
        <f t="shared" si="40"/>
        <v>20000</v>
      </c>
      <c r="K36" s="49">
        <f t="shared" si="5"/>
        <v>20000</v>
      </c>
      <c r="L36" s="18">
        <f t="shared" si="6"/>
        <v>0</v>
      </c>
      <c r="M36" s="18">
        <f t="shared" si="6"/>
        <v>20000</v>
      </c>
      <c r="N36" s="18">
        <f t="shared" si="6"/>
        <v>20000</v>
      </c>
      <c r="O36" s="42">
        <f t="shared" si="6"/>
        <v>20000</v>
      </c>
      <c r="P36" s="60"/>
    </row>
    <row r="37" spans="1:16" x14ac:dyDescent="0.3">
      <c r="B37" s="33">
        <v>71100</v>
      </c>
      <c r="C37" s="33" t="s">
        <v>86</v>
      </c>
      <c r="D37" s="18">
        <f t="shared" si="38"/>
        <v>0</v>
      </c>
      <c r="E37" s="25">
        <f t="shared" si="35"/>
        <v>0</v>
      </c>
      <c r="F37" s="25">
        <f t="shared" si="35"/>
        <v>0</v>
      </c>
      <c r="G37" s="49">
        <f t="shared" si="3"/>
        <v>0</v>
      </c>
      <c r="H37" s="18">
        <f t="shared" si="39"/>
        <v>0</v>
      </c>
      <c r="I37" s="25">
        <f t="shared" ref="I37:J37" si="41">0*1</f>
        <v>0</v>
      </c>
      <c r="J37" s="25">
        <f t="shared" si="41"/>
        <v>0</v>
      </c>
      <c r="K37" s="49">
        <f t="shared" si="5"/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42">
        <f t="shared" si="6"/>
        <v>0</v>
      </c>
      <c r="P37" s="60"/>
    </row>
    <row r="38" spans="1:16" x14ac:dyDescent="0.3">
      <c r="A38" s="50"/>
      <c r="B38" s="33"/>
      <c r="C38" s="33"/>
      <c r="D38" s="23"/>
      <c r="E38" s="6"/>
      <c r="F38" s="6"/>
      <c r="G38" s="13"/>
      <c r="H38" s="23"/>
      <c r="I38" s="6"/>
      <c r="J38" s="6"/>
      <c r="K38" s="13"/>
      <c r="L38" s="23"/>
      <c r="M38" s="6"/>
      <c r="N38" s="6"/>
      <c r="O38" s="13"/>
      <c r="P38" s="13"/>
    </row>
    <row r="39" spans="1:16" x14ac:dyDescent="0.3">
      <c r="A39" s="50"/>
      <c r="B39" s="38"/>
      <c r="C39" s="38"/>
      <c r="D39" s="24"/>
      <c r="E39" s="5"/>
      <c r="F39" s="5"/>
      <c r="G39" s="12"/>
      <c r="H39" s="24"/>
      <c r="I39" s="5"/>
      <c r="J39" s="5"/>
      <c r="K39" s="12"/>
      <c r="L39" s="24"/>
      <c r="M39" s="5"/>
      <c r="N39" s="5"/>
      <c r="O39" s="12"/>
      <c r="P39" s="12"/>
    </row>
    <row r="40" spans="1:16" ht="15" thickBot="1" x14ac:dyDescent="0.35">
      <c r="A40" s="52"/>
      <c r="B40" s="31"/>
      <c r="C40" s="31" t="s">
        <v>9</v>
      </c>
      <c r="D40" s="39">
        <f t="shared" ref="D40:K40" si="42">SUM(D19:D37)</f>
        <v>-1624181.49</v>
      </c>
      <c r="E40" s="28">
        <f t="shared" si="42"/>
        <v>-2338000</v>
      </c>
      <c r="F40" s="28">
        <f t="shared" si="42"/>
        <v>-2338000</v>
      </c>
      <c r="G40" s="27">
        <f t="shared" si="42"/>
        <v>-2338000</v>
      </c>
      <c r="H40" s="39">
        <f t="shared" si="42"/>
        <v>1662885.22</v>
      </c>
      <c r="I40" s="28">
        <f t="shared" si="42"/>
        <v>2320000</v>
      </c>
      <c r="J40" s="40">
        <f t="shared" si="42"/>
        <v>2320000</v>
      </c>
      <c r="K40" s="27">
        <f t="shared" si="42"/>
        <v>2320000</v>
      </c>
      <c r="L40" s="26">
        <f t="shared" ref="L40:O40" si="43">D40+H40</f>
        <v>38703.729999999981</v>
      </c>
      <c r="M40" s="26">
        <f t="shared" si="43"/>
        <v>-18000</v>
      </c>
      <c r="N40" s="26">
        <f t="shared" si="43"/>
        <v>-18000</v>
      </c>
      <c r="O40" s="27">
        <f t="shared" si="43"/>
        <v>-18000</v>
      </c>
      <c r="P40" s="56"/>
    </row>
    <row r="41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3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57</v>
      </c>
      <c r="H8" s="41" t="s">
        <v>77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SUM(D19)</f>
        <v>-585243.54</v>
      </c>
      <c r="E16" s="16">
        <f t="shared" si="0"/>
        <v>-600000</v>
      </c>
      <c r="F16" s="16">
        <f t="shared" si="0"/>
        <v>-600000</v>
      </c>
      <c r="G16" s="17">
        <f t="shared" si="0"/>
        <v>-600000</v>
      </c>
      <c r="H16" s="10">
        <f t="shared" si="0"/>
        <v>585243.77</v>
      </c>
      <c r="I16" s="16">
        <f t="shared" si="0"/>
        <v>600000</v>
      </c>
      <c r="J16" s="16">
        <f t="shared" si="0"/>
        <v>600000</v>
      </c>
      <c r="K16" s="17">
        <f t="shared" si="0"/>
        <v>600000</v>
      </c>
      <c r="L16" s="10">
        <f t="shared" ref="L16:O16" si="1">D16+H16</f>
        <v>0.22999999998137355</v>
      </c>
      <c r="M16" s="10">
        <f t="shared" si="1"/>
        <v>0</v>
      </c>
      <c r="N16" s="10">
        <f t="shared" si="1"/>
        <v>0</v>
      </c>
      <c r="O16" s="17">
        <f t="shared" si="1"/>
        <v>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B19" s="33">
        <v>71100</v>
      </c>
      <c r="C19" s="33" t="s">
        <v>86</v>
      </c>
      <c r="D19" s="18">
        <f>-585243.54*(1)</f>
        <v>-585243.54</v>
      </c>
      <c r="E19" s="25">
        <f t="shared" ref="E19:F19" si="2">600000*(-1)</f>
        <v>-600000</v>
      </c>
      <c r="F19" s="25">
        <f t="shared" si="2"/>
        <v>-600000</v>
      </c>
      <c r="G19" s="49">
        <f>IF(0=0,F19,0)</f>
        <v>-600000</v>
      </c>
      <c r="H19" s="18">
        <f>585243.77*1</f>
        <v>585243.77</v>
      </c>
      <c r="I19" s="25">
        <f t="shared" ref="I19:J19" si="3">600000*1</f>
        <v>600000</v>
      </c>
      <c r="J19" s="25">
        <f t="shared" si="3"/>
        <v>600000</v>
      </c>
      <c r="K19" s="49">
        <f>IF(0=0,J19,0)</f>
        <v>600000</v>
      </c>
      <c r="L19" s="18">
        <f t="shared" ref="L19:O19" si="4">D19+H19</f>
        <v>0.22999999998137355</v>
      </c>
      <c r="M19" s="18">
        <f t="shared" si="4"/>
        <v>0</v>
      </c>
      <c r="N19" s="18">
        <f t="shared" si="4"/>
        <v>0</v>
      </c>
      <c r="O19" s="42">
        <f t="shared" si="4"/>
        <v>0</v>
      </c>
      <c r="P19" s="60"/>
    </row>
    <row r="20" spans="1:16" x14ac:dyDescent="0.3">
      <c r="A20" s="50"/>
      <c r="B20" s="33"/>
      <c r="C20" s="33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x14ac:dyDescent="0.3">
      <c r="A21" s="50"/>
      <c r="B21" s="38"/>
      <c r="C21" s="38"/>
      <c r="D21" s="24"/>
      <c r="E21" s="5"/>
      <c r="F21" s="5"/>
      <c r="G21" s="12"/>
      <c r="H21" s="24"/>
      <c r="I21" s="5"/>
      <c r="J21" s="5"/>
      <c r="K21" s="12"/>
      <c r="L21" s="24"/>
      <c r="M21" s="5"/>
      <c r="N21" s="5"/>
      <c r="O21" s="12"/>
      <c r="P21" s="12"/>
    </row>
    <row r="22" spans="1:16" ht="15" thickBot="1" x14ac:dyDescent="0.35">
      <c r="A22" s="52"/>
      <c r="B22" s="31"/>
      <c r="C22" s="31" t="s">
        <v>9</v>
      </c>
      <c r="D22" s="39">
        <f t="shared" ref="D22:K22" si="5">SUM(D19)</f>
        <v>-585243.54</v>
      </c>
      <c r="E22" s="28">
        <f t="shared" si="5"/>
        <v>-600000</v>
      </c>
      <c r="F22" s="28">
        <f t="shared" si="5"/>
        <v>-600000</v>
      </c>
      <c r="G22" s="27">
        <f t="shared" si="5"/>
        <v>-600000</v>
      </c>
      <c r="H22" s="39">
        <f t="shared" si="5"/>
        <v>585243.77</v>
      </c>
      <c r="I22" s="28">
        <f t="shared" si="5"/>
        <v>600000</v>
      </c>
      <c r="J22" s="40">
        <f t="shared" si="5"/>
        <v>600000</v>
      </c>
      <c r="K22" s="27">
        <f t="shared" si="5"/>
        <v>600000</v>
      </c>
      <c r="L22" s="26">
        <f t="shared" ref="L22:O22" si="6">D22+H22</f>
        <v>0.22999999998137355</v>
      </c>
      <c r="M22" s="26">
        <f t="shared" si="6"/>
        <v>0</v>
      </c>
      <c r="N22" s="26">
        <f t="shared" si="6"/>
        <v>0</v>
      </c>
      <c r="O22" s="27">
        <f t="shared" si="6"/>
        <v>0</v>
      </c>
      <c r="P22" s="56"/>
    </row>
    <row r="23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75</v>
      </c>
      <c r="H8" s="41" t="s">
        <v>50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SUM(0)</f>
        <v>0</v>
      </c>
      <c r="E16" s="16">
        <f t="shared" si="0"/>
        <v>0</v>
      </c>
      <c r="F16" s="16">
        <f t="shared" si="0"/>
        <v>0</v>
      </c>
      <c r="G16" s="17">
        <f t="shared" si="0"/>
        <v>0</v>
      </c>
      <c r="H16" s="10">
        <f t="shared" si="0"/>
        <v>0</v>
      </c>
      <c r="I16" s="16">
        <f t="shared" si="0"/>
        <v>0</v>
      </c>
      <c r="J16" s="16">
        <f t="shared" si="0"/>
        <v>0</v>
      </c>
      <c r="K16" s="17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7">
        <f t="shared" si="1"/>
        <v>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A19" s="50"/>
      <c r="B19" s="33"/>
      <c r="C19" s="33"/>
      <c r="D19" s="23"/>
      <c r="E19" s="6"/>
      <c r="F19" s="6"/>
      <c r="G19" s="13"/>
      <c r="H19" s="23"/>
      <c r="I19" s="6"/>
      <c r="J19" s="6"/>
      <c r="K19" s="13"/>
      <c r="L19" s="23"/>
      <c r="M19" s="6"/>
      <c r="N19" s="6"/>
      <c r="O19" s="13"/>
      <c r="P19" s="13"/>
    </row>
    <row r="20" spans="1:16" x14ac:dyDescent="0.3">
      <c r="A20" s="50"/>
      <c r="B20" s="38"/>
      <c r="C20" s="38"/>
      <c r="D20" s="24"/>
      <c r="E20" s="5"/>
      <c r="F20" s="5"/>
      <c r="G20" s="12"/>
      <c r="H20" s="24"/>
      <c r="I20" s="5"/>
      <c r="J20" s="5"/>
      <c r="K20" s="12"/>
      <c r="L20" s="24"/>
      <c r="M20" s="5"/>
      <c r="N20" s="5"/>
      <c r="O20" s="12"/>
      <c r="P20" s="12"/>
    </row>
    <row r="21" spans="1:16" ht="15" thickBot="1" x14ac:dyDescent="0.35">
      <c r="A21" s="52"/>
      <c r="B21" s="31"/>
      <c r="C21" s="31" t="s">
        <v>9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6">
        <f t="shared" ref="L21:O21" si="3">D21+H21</f>
        <v>0</v>
      </c>
      <c r="M21" s="26">
        <f t="shared" si="3"/>
        <v>0</v>
      </c>
      <c r="N21" s="26">
        <f t="shared" si="3"/>
        <v>0</v>
      </c>
      <c r="O21" s="27">
        <f t="shared" si="3"/>
        <v>0</v>
      </c>
      <c r="P21" s="56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13</v>
      </c>
      <c r="H8" s="41" t="s">
        <v>19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SUM(0)</f>
        <v>0</v>
      </c>
      <c r="E16" s="16">
        <f t="shared" si="0"/>
        <v>0</v>
      </c>
      <c r="F16" s="16">
        <f t="shared" si="0"/>
        <v>0</v>
      </c>
      <c r="G16" s="17">
        <f t="shared" si="0"/>
        <v>0</v>
      </c>
      <c r="H16" s="10">
        <f t="shared" si="0"/>
        <v>0</v>
      </c>
      <c r="I16" s="16">
        <f t="shared" si="0"/>
        <v>0</v>
      </c>
      <c r="J16" s="16">
        <f t="shared" si="0"/>
        <v>0</v>
      </c>
      <c r="K16" s="17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7">
        <f t="shared" si="1"/>
        <v>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A19" s="50"/>
      <c r="B19" s="33"/>
      <c r="C19" s="33"/>
      <c r="D19" s="23"/>
      <c r="E19" s="6"/>
      <c r="F19" s="6"/>
      <c r="G19" s="13"/>
      <c r="H19" s="23"/>
      <c r="I19" s="6"/>
      <c r="J19" s="6"/>
      <c r="K19" s="13"/>
      <c r="L19" s="23"/>
      <c r="M19" s="6"/>
      <c r="N19" s="6"/>
      <c r="O19" s="13"/>
      <c r="P19" s="13"/>
    </row>
    <row r="20" spans="1:16" x14ac:dyDescent="0.3">
      <c r="A20" s="50"/>
      <c r="B20" s="38"/>
      <c r="C20" s="38"/>
      <c r="D20" s="24"/>
      <c r="E20" s="5"/>
      <c r="F20" s="5"/>
      <c r="G20" s="12"/>
      <c r="H20" s="24"/>
      <c r="I20" s="5"/>
      <c r="J20" s="5"/>
      <c r="K20" s="12"/>
      <c r="L20" s="24"/>
      <c r="M20" s="5"/>
      <c r="N20" s="5"/>
      <c r="O20" s="12"/>
      <c r="P20" s="12"/>
    </row>
    <row r="21" spans="1:16" ht="15" thickBot="1" x14ac:dyDescent="0.35">
      <c r="A21" s="52"/>
      <c r="B21" s="31"/>
      <c r="C21" s="31" t="s">
        <v>9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6">
        <f t="shared" ref="L21:O21" si="3">D21+H21</f>
        <v>0</v>
      </c>
      <c r="M21" s="26">
        <f t="shared" si="3"/>
        <v>0</v>
      </c>
      <c r="N21" s="26">
        <f t="shared" si="3"/>
        <v>0</v>
      </c>
      <c r="O21" s="27">
        <f t="shared" si="3"/>
        <v>0</v>
      </c>
      <c r="P21" s="56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/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/>
      <c r="H8" s="41"/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SUM(0)</f>
        <v>0</v>
      </c>
      <c r="E16" s="16">
        <f t="shared" si="0"/>
        <v>0</v>
      </c>
      <c r="F16" s="16">
        <f t="shared" si="0"/>
        <v>0</v>
      </c>
      <c r="G16" s="17">
        <f t="shared" si="0"/>
        <v>0</v>
      </c>
      <c r="H16" s="10">
        <f t="shared" si="0"/>
        <v>0</v>
      </c>
      <c r="I16" s="16">
        <f t="shared" si="0"/>
        <v>0</v>
      </c>
      <c r="J16" s="16">
        <f t="shared" si="0"/>
        <v>0</v>
      </c>
      <c r="K16" s="17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7">
        <f t="shared" si="1"/>
        <v>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A19" s="50"/>
      <c r="B19" s="33"/>
      <c r="C19" s="33"/>
      <c r="D19" s="23"/>
      <c r="E19" s="6"/>
      <c r="F19" s="6"/>
      <c r="G19" s="13"/>
      <c r="H19" s="23"/>
      <c r="I19" s="6"/>
      <c r="J19" s="6"/>
      <c r="K19" s="13"/>
      <c r="L19" s="23"/>
      <c r="M19" s="6"/>
      <c r="N19" s="6"/>
      <c r="O19" s="13"/>
      <c r="P19" s="13"/>
    </row>
    <row r="20" spans="1:16" x14ac:dyDescent="0.3">
      <c r="A20" s="50"/>
      <c r="B20" s="38"/>
      <c r="C20" s="38"/>
      <c r="D20" s="24"/>
      <c r="E20" s="5"/>
      <c r="F20" s="5"/>
      <c r="G20" s="12"/>
      <c r="H20" s="24"/>
      <c r="I20" s="5"/>
      <c r="J20" s="5"/>
      <c r="K20" s="12"/>
      <c r="L20" s="24"/>
      <c r="M20" s="5"/>
      <c r="N20" s="5"/>
      <c r="O20" s="12"/>
      <c r="P20" s="12"/>
    </row>
    <row r="21" spans="1:16" ht="15" thickBot="1" x14ac:dyDescent="0.35">
      <c r="A21" s="52"/>
      <c r="B21" s="31"/>
      <c r="C21" s="31" t="s">
        <v>9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6">
        <f t="shared" ref="L21:O21" si="3">D21+H21</f>
        <v>0</v>
      </c>
      <c r="M21" s="26">
        <f t="shared" si="3"/>
        <v>0</v>
      </c>
      <c r="N21" s="26">
        <f t="shared" si="3"/>
        <v>0</v>
      </c>
      <c r="O21" s="27">
        <f t="shared" si="3"/>
        <v>0</v>
      </c>
      <c r="P21" s="56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23"/>
  <sheetViews>
    <sheetView workbookViewId="0"/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 t="e">
        <f ca="1">_xll.OneStop.ReportPlayer.OSRFunctions.OSRGet("DimPeriod","Year")</f>
        <v>#NAME?</v>
      </c>
      <c r="F6" s="8" t="e">
        <f ca="1">_xll.OneStop.ReportPlayer.OSRFunctions.OSRGet("DimEntity","EntityName")</f>
        <v>#NAME?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e">
        <f ca="1">RIGHT(_xll.OneStop.ReportPlayer.OSRFunctions.OSRPar("Period"),2)</f>
        <v>#NAME?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41" t="e">
        <f ca="1">_xll.OneStop.ReportPlayer.OSRFunctions.OSRGet("Seg1","SegValue")</f>
        <v>#NAME?</v>
      </c>
      <c r="H8" s="41" t="e">
        <f ca="1">_xll.OneStop.ReportPlayer.OSRFunctions.OSRGet("Seg1","SegValue Description")</f>
        <v>#NAME?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 t="e">
        <f ca="1">SUM(_xll.OneStop.ReportPlayer.OSRFunctions.OSRRef(D19))</f>
        <v>#NAME?</v>
      </c>
      <c r="E16" s="16" t="e">
        <f ca="1">SUM(_xll.OneStop.ReportPlayer.OSRFunctions.OSRRef(E19))</f>
        <v>#NAME?</v>
      </c>
      <c r="F16" s="16" t="e">
        <f ca="1">SUM(_xll.OneStop.ReportPlayer.OSRFunctions.OSRRef(F19))</f>
        <v>#NAME?</v>
      </c>
      <c r="G16" s="17" t="e">
        <f ca="1">SUM(_xll.OneStop.ReportPlayer.OSRFunctions.OSRRef(G19))</f>
        <v>#NAME?</v>
      </c>
      <c r="H16" s="10" t="e">
        <f ca="1">SUM(_xll.OneStop.ReportPlayer.OSRFunctions.OSRRef(H19))</f>
        <v>#NAME?</v>
      </c>
      <c r="I16" s="16" t="e">
        <f ca="1">SUM(_xll.OneStop.ReportPlayer.OSRFunctions.OSRRef(I19))</f>
        <v>#NAME?</v>
      </c>
      <c r="J16" s="16" t="e">
        <f ca="1">SUM(_xll.OneStop.ReportPlayer.OSRFunctions.OSRRef(J19))</f>
        <v>#NAME?</v>
      </c>
      <c r="K16" s="17" t="e">
        <f ca="1">SUM(_xll.OneStop.ReportPlayer.OSRFunctions.OSRRef(K19))</f>
        <v>#NAME?</v>
      </c>
      <c r="L16" s="10" t="e">
        <f t="shared" ref="L16:O16" ca="1" si="0">D16+H16</f>
        <v>#NAME?</v>
      </c>
      <c r="M16" s="10" t="e">
        <f t="shared" ca="1" si="0"/>
        <v>#NAME?</v>
      </c>
      <c r="N16" s="10" t="e">
        <f t="shared" ca="1" si="0"/>
        <v>#NAME?</v>
      </c>
      <c r="O16" s="17" t="e">
        <f t="shared" ca="1" si="0"/>
        <v>#NAME?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B19" s="33" t="e">
        <f ca="1">_xll.OneStop.ReportPlayer.OSRFunctions.OSRGet("Seg2","SegValue")</f>
        <v>#NAME?</v>
      </c>
      <c r="C19" s="33" t="e">
        <f ca="1">_xll.OneStop.ReportPlayer.OSRFunctions.OSRGet("Seg2","SegValue Description")</f>
        <v>#NAME?</v>
      </c>
      <c r="D19" s="18" t="e">
        <f ca="1">_xll.OneStop.ReportPlayer.OSRFunctions.OSRGet("FactJournalTransactionLine","Amount")*(1)</f>
        <v>#NAME?</v>
      </c>
      <c r="E19" s="25" t="e">
        <f ca="1">_xll.OneStop.ReportPlayer.OSRFunctions.OSRGet("FactGLBudget","BudgetAmount")*(-1)</f>
        <v>#NAME?</v>
      </c>
      <c r="F19" s="25" t="e">
        <f ca="1">_xll.OneStop.ReportPlayer.OSRFunctions.OSRGet("FactGLBudget","BudgetAmount")*(-1)</f>
        <v>#NAME?</v>
      </c>
      <c r="G19" s="42" t="e">
        <f ca="1">IF(_xll.OneStop.ReportPlayer.OSRFunctions.OSRGet("FactBudgetTrans","BudgetAmount")=0,_xll.OneStop.ReportPlayer.OSRFunctions.OSRRef(F19),_xll.OneStop.ReportPlayer.OSRFunctions.OSRGet("FactBudgetTrans","BudgetAmount"))</f>
        <v>#NAME?</v>
      </c>
      <c r="H19" s="18" t="e">
        <f ca="1">_xll.OneStop.ReportPlayer.OSRFunctions.OSRGet("FactJournalTransactionLine","Amount")*1</f>
        <v>#NAME?</v>
      </c>
      <c r="I19" s="25" t="e">
        <f ca="1">_xll.OneStop.ReportPlayer.OSRFunctions.OSRGet("FactGLBudget","BudgetAmount")*1</f>
        <v>#NAME?</v>
      </c>
      <c r="J19" s="25" t="e">
        <f ca="1">_xll.OneStop.ReportPlayer.OSRFunctions.OSRGet("FactGLBudget","BudgetAmount")*1</f>
        <v>#NAME?</v>
      </c>
      <c r="K19" s="42" t="e">
        <f ca="1">IF(_xll.OneStop.ReportPlayer.OSRFunctions.OSRGet("FactBudgetTrans","BudgetAmount")=0,_xll.OneStop.ReportPlayer.OSRFunctions.OSRRef(J19),_xll.OneStop.ReportPlayer.OSRFunctions.OSRGet("FactBudgetTrans","BudgetAmount"))</f>
        <v>#NAME?</v>
      </c>
      <c r="L19" s="18" t="e">
        <f t="shared" ref="L19:O19" ca="1" si="1">D19+H19</f>
        <v>#NAME?</v>
      </c>
      <c r="M19" s="18" t="e">
        <f t="shared" ca="1" si="1"/>
        <v>#NAME?</v>
      </c>
      <c r="N19" s="18" t="e">
        <f t="shared" ca="1" si="1"/>
        <v>#NAME?</v>
      </c>
      <c r="O19" s="42" t="e">
        <f t="shared" ca="1" si="1"/>
        <v>#NAME?</v>
      </c>
      <c r="P19" s="72" t="e">
        <f ca="1">_xll.OneStop.ReportPlayer.OSRFunctions.OSRGet("FactBudgetTrans","text")</f>
        <v>#NAME?</v>
      </c>
    </row>
    <row r="20" spans="1:16" x14ac:dyDescent="0.3">
      <c r="A20" s="50"/>
      <c r="B20" s="33"/>
      <c r="C20" s="33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x14ac:dyDescent="0.3">
      <c r="A21" s="50"/>
      <c r="B21" s="38"/>
      <c r="C21" s="38"/>
      <c r="D21" s="24"/>
      <c r="E21" s="5"/>
      <c r="F21" s="5"/>
      <c r="G21" s="12"/>
      <c r="H21" s="24"/>
      <c r="I21" s="5"/>
      <c r="J21" s="5"/>
      <c r="K21" s="12"/>
      <c r="L21" s="24"/>
      <c r="M21" s="5"/>
      <c r="N21" s="5"/>
      <c r="O21" s="12"/>
      <c r="P21" s="12"/>
    </row>
    <row r="22" spans="1:16" ht="15" thickBot="1" x14ac:dyDescent="0.35">
      <c r="A22" s="52"/>
      <c r="B22" s="31"/>
      <c r="C22" s="31" t="s">
        <v>9</v>
      </c>
      <c r="D22" s="39" t="e">
        <f ca="1">SUM(_xll.OneStop.ReportPlayer.OSRFunctions.OSRRef(D19))</f>
        <v>#NAME?</v>
      </c>
      <c r="E22" s="28" t="e">
        <f ca="1">SUM(_xll.OneStop.ReportPlayer.OSRFunctions.OSRRef(E19))</f>
        <v>#NAME?</v>
      </c>
      <c r="F22" s="28" t="e">
        <f ca="1">SUM(_xll.OneStop.ReportPlayer.OSRFunctions.OSRRef(F19))</f>
        <v>#NAME?</v>
      </c>
      <c r="G22" s="27" t="e">
        <f ca="1">SUM(_xll.OneStop.ReportPlayer.OSRFunctions.OSRRef(G19))</f>
        <v>#NAME?</v>
      </c>
      <c r="H22" s="39" t="e">
        <f ca="1">SUM(_xll.OneStop.ReportPlayer.OSRFunctions.OSRRef(H19))</f>
        <v>#NAME?</v>
      </c>
      <c r="I22" s="28" t="e">
        <f ca="1">SUM(_xll.OneStop.ReportPlayer.OSRFunctions.OSRRef(I19))</f>
        <v>#NAME?</v>
      </c>
      <c r="J22" s="40" t="e">
        <f ca="1">SUM(_xll.OneStop.ReportPlayer.OSRFunctions.OSRRef(J19))</f>
        <v>#NAME?</v>
      </c>
      <c r="K22" s="27" t="e">
        <f ca="1">SUM(_xll.OneStop.ReportPlayer.OSRFunctions.OSRRef(K19))</f>
        <v>#NAME?</v>
      </c>
      <c r="L22" s="26" t="e">
        <f t="shared" ref="L22:O22" ca="1" si="2">D22+H22</f>
        <v>#NAME?</v>
      </c>
      <c r="M22" s="26" t="e">
        <f t="shared" ca="1" si="2"/>
        <v>#NAME?</v>
      </c>
      <c r="N22" s="26" t="e">
        <f t="shared" ca="1" si="2"/>
        <v>#NAME?</v>
      </c>
      <c r="O22" s="27" t="e">
        <f t="shared" ca="1" si="2"/>
        <v>#NAME?</v>
      </c>
      <c r="P22" s="56"/>
    </row>
    <row r="23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workbookViewId="0">
      <selection activeCell="G11" sqref="G11"/>
    </sheetView>
  </sheetViews>
  <sheetFormatPr baseColWidth="10" defaultColWidth="9.109375" defaultRowHeight="14.4" x14ac:dyDescent="0.3"/>
  <cols>
    <col min="1" max="1" width="10" customWidth="1"/>
    <col min="2" max="15" width="13.33203125" customWidth="1"/>
  </cols>
  <sheetData>
    <row r="1" spans="1:15" ht="3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" x14ac:dyDescent="0.4">
      <c r="B6" s="1"/>
      <c r="C6" s="45"/>
      <c r="D6" s="53" t="s">
        <v>20</v>
      </c>
      <c r="E6" s="48" t="e">
        <f ca="1">_xll.OneStop.ReportPlayer.OSRFunctions.OSRGet("DimPeriod","Year")</f>
        <v>#NAME?</v>
      </c>
      <c r="F6" s="8" t="e">
        <f ca="1">_xll.OneStop.ReportPlayer.OSRFunctions.OSRGet("DimEntity","EntityName")</f>
        <v>#NAME?</v>
      </c>
      <c r="H6" s="8"/>
      <c r="I6" s="8"/>
      <c r="J6" s="8"/>
      <c r="K6" s="8"/>
      <c r="L6" s="8"/>
      <c r="M6" s="1"/>
      <c r="N6" s="1"/>
      <c r="O6" s="1"/>
    </row>
    <row r="7" spans="1:15" ht="21" x14ac:dyDescent="0.4">
      <c r="B7" s="1"/>
      <c r="C7" s="51"/>
      <c r="D7" s="53" t="s">
        <v>35</v>
      </c>
      <c r="E7" s="48" t="e">
        <f ca="1">RIGHT(_xll.OneStop.ReportPlayer.OSRFunctions.OSRPar("Period"),2)</f>
        <v>#NAME?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1:15" ht="15.6" x14ac:dyDescent="0.3">
      <c r="B8" s="1"/>
      <c r="C8" s="1"/>
      <c r="D8" s="4"/>
      <c r="E8" s="1"/>
      <c r="F8" s="29"/>
      <c r="G8" s="1"/>
      <c r="H8" s="29"/>
      <c r="I8" s="4"/>
      <c r="J8" s="4"/>
      <c r="K8" s="4"/>
      <c r="L8" s="4"/>
      <c r="M8" s="4"/>
      <c r="N8" s="4"/>
      <c r="O8" s="1"/>
    </row>
    <row r="9" spans="1:15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1:15" ht="22.8" x14ac:dyDescent="0.4">
      <c r="B10" s="1"/>
      <c r="C10" s="20"/>
      <c r="D10" s="20"/>
      <c r="E10" s="20"/>
      <c r="F10" s="1"/>
      <c r="G10" s="4"/>
      <c r="H10" s="41"/>
      <c r="I10" s="4"/>
      <c r="J10" s="4"/>
      <c r="K10" s="4"/>
      <c r="L10" s="4"/>
      <c r="M10" s="4"/>
      <c r="N10" s="4"/>
      <c r="O10" s="1"/>
    </row>
    <row r="11" spans="1:15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1:15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</row>
    <row r="13" spans="1:15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</row>
    <row r="14" spans="1:15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</row>
    <row r="15" spans="1:15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</row>
    <row r="16" spans="1:15" x14ac:dyDescent="0.3">
      <c r="A16" s="1"/>
      <c r="B16" s="37"/>
      <c r="C16" s="67"/>
      <c r="D16" s="68"/>
      <c r="E16" s="7"/>
      <c r="F16" s="7"/>
      <c r="G16" s="14"/>
      <c r="H16" s="22"/>
      <c r="I16" s="7"/>
      <c r="J16" s="7"/>
      <c r="K16" s="14"/>
      <c r="L16" s="22"/>
      <c r="M16" s="7"/>
      <c r="N16" s="7"/>
      <c r="O16" s="14"/>
    </row>
    <row r="17" spans="1:15" x14ac:dyDescent="0.3">
      <c r="A17" s="1"/>
      <c r="B17" s="35" t="s">
        <v>52</v>
      </c>
      <c r="C17" s="62" t="s">
        <v>2</v>
      </c>
      <c r="D17" s="65"/>
      <c r="E17" s="19"/>
      <c r="F17" s="19"/>
      <c r="G17" s="21"/>
      <c r="H17" s="36"/>
      <c r="I17" s="19"/>
      <c r="J17" s="19"/>
      <c r="K17" s="21"/>
      <c r="L17" s="36"/>
      <c r="M17" s="19"/>
      <c r="N17" s="19"/>
      <c r="O17" s="21"/>
    </row>
    <row r="18" spans="1:15" x14ac:dyDescent="0.3">
      <c r="B18" s="34" t="e">
        <f ca="1">_xll.OneStop.ReportPlayer.OSRFunctions.OSRGet("Seg1","SegValue")</f>
        <v>#NAME?</v>
      </c>
      <c r="C18" s="63" t="e">
        <f ca="1">_xll.OneStop.ReportPlayer.OSRFunctions.OSRGet("Seg1","SegValue Description")</f>
        <v>#NAME?</v>
      </c>
      <c r="D18" s="71" t="e">
        <f ca="1">_xll.OneStop.ReportPlayer.OSRFunctions.OSRGet("FactJournalTransactionLine","Amount")*1</f>
        <v>#NAME?</v>
      </c>
      <c r="E18" s="25" t="e">
        <f ca="1">_xll.OneStop.ReportPlayer.OSRFunctions.OSRGet("FactGLBudget","BudgetAmount")*(-1)</f>
        <v>#NAME?</v>
      </c>
      <c r="F18" s="25" t="e">
        <f ca="1">_xll.OneStop.ReportPlayer.OSRFunctions.OSRGet("FactGLBudget","BudgetAmount")*(-1)</f>
        <v>#NAME?</v>
      </c>
      <c r="G18" s="42" t="e">
        <f ca="1">IF(_xll.OneStop.ReportPlayer.OSRFunctions.OSRGet("FactBudgetTrans","BudgetAmount")=0,_xll.OneStop.ReportPlayer.OSRFunctions.OSRRef(F18),_xll.OneStop.ReportPlayer.OSRFunctions.OSRGet("FactBudgetTrans","BudgetAmount"))</f>
        <v>#NAME?</v>
      </c>
      <c r="H18" s="18" t="e">
        <f ca="1">_xll.OneStop.ReportPlayer.OSRFunctions.OSRGet("FactJournalTransactionLine","Amount")*1</f>
        <v>#NAME?</v>
      </c>
      <c r="I18" s="25" t="e">
        <f ca="1">_xll.OneStop.ReportPlayer.OSRFunctions.OSRGet("FactGLBudget","BudgetAmount")*1</f>
        <v>#NAME?</v>
      </c>
      <c r="J18" s="25" t="e">
        <f ca="1">_xll.OneStop.ReportPlayer.OSRFunctions.OSRGet("FactGLBudget","BudgetAmount")*1</f>
        <v>#NAME?</v>
      </c>
      <c r="K18" s="42" t="e">
        <f ca="1">IF(_xll.OneStop.ReportPlayer.OSRFunctions.OSRGet("FactBudgetTrans","BudgetAmount")=0,_xll.OneStop.ReportPlayer.OSRFunctions.OSRRef(J18),_xll.OneStop.ReportPlayer.OSRFunctions.OSRGet("FactBudgetTrans","BudgetAmount"))</f>
        <v>#NAME?</v>
      </c>
      <c r="L18" s="18" t="e">
        <f t="shared" ref="L18:O18" ca="1" si="0">D18+H18</f>
        <v>#NAME?</v>
      </c>
      <c r="M18" s="18" t="e">
        <f t="shared" ca="1" si="0"/>
        <v>#NAME?</v>
      </c>
      <c r="N18" s="18" t="e">
        <f t="shared" ca="1" si="0"/>
        <v>#NAME?</v>
      </c>
      <c r="O18" s="42" t="e">
        <f t="shared" ca="1" si="0"/>
        <v>#NAME?</v>
      </c>
    </row>
    <row r="19" spans="1:15" x14ac:dyDescent="0.3">
      <c r="A19" s="50"/>
      <c r="B19" s="33"/>
      <c r="C19" s="69"/>
      <c r="D19" s="64"/>
      <c r="E19" s="6"/>
      <c r="F19" s="6"/>
      <c r="G19" s="13"/>
      <c r="H19" s="23"/>
      <c r="I19" s="6"/>
      <c r="J19" s="6"/>
      <c r="K19" s="13"/>
      <c r="L19" s="23"/>
      <c r="M19" s="6"/>
      <c r="N19" s="6"/>
      <c r="O19" s="13"/>
    </row>
    <row r="20" spans="1:15" x14ac:dyDescent="0.3">
      <c r="A20" s="50"/>
      <c r="B20" s="33"/>
      <c r="C20" s="70"/>
      <c r="D20" s="66"/>
      <c r="E20" s="5"/>
      <c r="F20" s="5"/>
      <c r="G20" s="12"/>
      <c r="H20" s="24"/>
      <c r="I20" s="5"/>
      <c r="J20" s="5"/>
      <c r="K20" s="12"/>
      <c r="L20" s="24"/>
      <c r="M20" s="5"/>
      <c r="N20" s="5"/>
      <c r="O20" s="12"/>
    </row>
    <row r="21" spans="1:15" ht="15" thickBot="1" x14ac:dyDescent="0.35">
      <c r="A21" s="52"/>
      <c r="B21" s="31"/>
      <c r="C21" s="31" t="s">
        <v>9</v>
      </c>
      <c r="D21" s="26" t="e">
        <f ca="1">SUM(_xll.OneStop.ReportPlayer.OSRFunctions.OSRRef(D18))</f>
        <v>#NAME?</v>
      </c>
      <c r="E21" s="40" t="e">
        <f ca="1">SUM(_xll.OneStop.ReportPlayer.OSRFunctions.OSRRef(E18))</f>
        <v>#NAME?</v>
      </c>
      <c r="F21" s="40" t="e">
        <f ca="1">SUM(_xll.OneStop.ReportPlayer.OSRFunctions.OSRRef(F18))</f>
        <v>#NAME?</v>
      </c>
      <c r="G21" s="61" t="e">
        <f ca="1">SUM(_xll.OneStop.ReportPlayer.OSRFunctions.OSRRef(G18))</f>
        <v>#NAME?</v>
      </c>
      <c r="H21" s="59" t="e">
        <f ca="1">SUM(_xll.OneStop.ReportPlayer.OSRFunctions.OSRRef(H18))</f>
        <v>#NAME?</v>
      </c>
      <c r="I21" s="40" t="e">
        <f ca="1">SUM(_xll.OneStop.ReportPlayer.OSRFunctions.OSRRef(I18))</f>
        <v>#NAME?</v>
      </c>
      <c r="J21" s="40" t="e">
        <f ca="1">SUM(_xll.OneStop.ReportPlayer.OSRFunctions.OSRRef(J18))</f>
        <v>#NAME?</v>
      </c>
      <c r="K21" s="61" t="e">
        <f ca="1">SUM(_xll.OneStop.ReportPlayer.OSRFunctions.OSRRef(K18))</f>
        <v>#NAME?</v>
      </c>
      <c r="L21" s="59" t="e">
        <f t="shared" ref="L21:O21" ca="1" si="1">D21+H21</f>
        <v>#NAME?</v>
      </c>
      <c r="M21" s="59" t="e">
        <f t="shared" ca="1" si="1"/>
        <v>#NAME?</v>
      </c>
      <c r="N21" s="59" t="e">
        <f t="shared" ca="1" si="1"/>
        <v>#NAME?</v>
      </c>
      <c r="O21" s="61" t="e">
        <f t="shared" ca="1" si="1"/>
        <v>#NAME?</v>
      </c>
    </row>
    <row r="22" spans="1:15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81</v>
      </c>
      <c r="H8" s="41" t="s">
        <v>53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SUM(D19)</f>
        <v>0</v>
      </c>
      <c r="E16" s="16">
        <f t="shared" si="0"/>
        <v>0</v>
      </c>
      <c r="F16" s="16">
        <f t="shared" si="0"/>
        <v>0</v>
      </c>
      <c r="G16" s="17">
        <f t="shared" si="0"/>
        <v>0</v>
      </c>
      <c r="H16" s="10">
        <f t="shared" si="0"/>
        <v>0</v>
      </c>
      <c r="I16" s="16">
        <f t="shared" si="0"/>
        <v>0</v>
      </c>
      <c r="J16" s="16">
        <f t="shared" si="0"/>
        <v>0</v>
      </c>
      <c r="K16" s="17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7">
        <f t="shared" si="1"/>
        <v>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B19" s="33">
        <v>0</v>
      </c>
      <c r="C19" s="33" t="s">
        <v>53</v>
      </c>
      <c r="D19" s="18">
        <f>0*(1)</f>
        <v>0</v>
      </c>
      <c r="E19" s="25">
        <f t="shared" ref="E19:F19" si="2">0*(-1)</f>
        <v>0</v>
      </c>
      <c r="F19" s="25">
        <f t="shared" si="2"/>
        <v>0</v>
      </c>
      <c r="G19" s="49">
        <f>IF(0=0,F19,0)</f>
        <v>0</v>
      </c>
      <c r="H19" s="18">
        <f t="shared" ref="H19:J19" si="3">0*1</f>
        <v>0</v>
      </c>
      <c r="I19" s="25">
        <f t="shared" si="3"/>
        <v>0</v>
      </c>
      <c r="J19" s="25">
        <f t="shared" si="3"/>
        <v>0</v>
      </c>
      <c r="K19" s="49">
        <f>IF(0=0,J19,0)</f>
        <v>0</v>
      </c>
      <c r="L19" s="18">
        <f t="shared" ref="L19:O19" si="4">D19+H19</f>
        <v>0</v>
      </c>
      <c r="M19" s="18">
        <f t="shared" si="4"/>
        <v>0</v>
      </c>
      <c r="N19" s="18">
        <f t="shared" si="4"/>
        <v>0</v>
      </c>
      <c r="O19" s="42">
        <f t="shared" si="4"/>
        <v>0</v>
      </c>
      <c r="P19" s="60"/>
    </row>
    <row r="20" spans="1:16" x14ac:dyDescent="0.3">
      <c r="A20" s="50"/>
      <c r="B20" s="33"/>
      <c r="C20" s="33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x14ac:dyDescent="0.3">
      <c r="A21" s="50"/>
      <c r="B21" s="38"/>
      <c r="C21" s="38"/>
      <c r="D21" s="24"/>
      <c r="E21" s="5"/>
      <c r="F21" s="5"/>
      <c r="G21" s="12"/>
      <c r="H21" s="24"/>
      <c r="I21" s="5"/>
      <c r="J21" s="5"/>
      <c r="K21" s="12"/>
      <c r="L21" s="24"/>
      <c r="M21" s="5"/>
      <c r="N21" s="5"/>
      <c r="O21" s="12"/>
      <c r="P21" s="12"/>
    </row>
    <row r="22" spans="1:16" ht="15" thickBot="1" x14ac:dyDescent="0.35">
      <c r="A22" s="52"/>
      <c r="B22" s="31"/>
      <c r="C22" s="31" t="s">
        <v>9</v>
      </c>
      <c r="D22" s="39">
        <f t="shared" ref="D22:K22" si="5">SUM(D19)</f>
        <v>0</v>
      </c>
      <c r="E22" s="28">
        <f t="shared" si="5"/>
        <v>0</v>
      </c>
      <c r="F22" s="28">
        <f t="shared" si="5"/>
        <v>0</v>
      </c>
      <c r="G22" s="27">
        <f t="shared" si="5"/>
        <v>0</v>
      </c>
      <c r="H22" s="39">
        <f t="shared" si="5"/>
        <v>0</v>
      </c>
      <c r="I22" s="28">
        <f t="shared" si="5"/>
        <v>0</v>
      </c>
      <c r="J22" s="40">
        <f t="shared" si="5"/>
        <v>0</v>
      </c>
      <c r="K22" s="27">
        <f t="shared" si="5"/>
        <v>0</v>
      </c>
      <c r="L22" s="26">
        <f t="shared" ref="L22:O22" si="6">D22+H22</f>
        <v>0</v>
      </c>
      <c r="M22" s="26">
        <f t="shared" si="6"/>
        <v>0</v>
      </c>
      <c r="N22" s="26">
        <f t="shared" si="6"/>
        <v>0</v>
      </c>
      <c r="O22" s="27">
        <f t="shared" si="6"/>
        <v>0</v>
      </c>
      <c r="P22" s="56"/>
    </row>
    <row r="23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65</v>
      </c>
      <c r="H8" s="41" t="s">
        <v>80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SUM(D19)</f>
        <v>-48432.7</v>
      </c>
      <c r="E16" s="16">
        <f t="shared" si="0"/>
        <v>-10000</v>
      </c>
      <c r="F16" s="16">
        <f t="shared" si="0"/>
        <v>-10000</v>
      </c>
      <c r="G16" s="17">
        <f t="shared" si="0"/>
        <v>-10000</v>
      </c>
      <c r="H16" s="10">
        <f t="shared" si="0"/>
        <v>128621.36</v>
      </c>
      <c r="I16" s="16">
        <f t="shared" si="0"/>
        <v>60000</v>
      </c>
      <c r="J16" s="16">
        <f t="shared" si="0"/>
        <v>60000</v>
      </c>
      <c r="K16" s="17">
        <f t="shared" si="0"/>
        <v>60000</v>
      </c>
      <c r="L16" s="10">
        <f t="shared" ref="L16:O16" si="1">D16+H16</f>
        <v>80188.66</v>
      </c>
      <c r="M16" s="10">
        <f t="shared" si="1"/>
        <v>50000</v>
      </c>
      <c r="N16" s="10">
        <f t="shared" si="1"/>
        <v>50000</v>
      </c>
      <c r="O16" s="17">
        <f t="shared" si="1"/>
        <v>50000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B19" s="33">
        <v>10100</v>
      </c>
      <c r="C19" s="33" t="s">
        <v>59</v>
      </c>
      <c r="D19" s="18">
        <f>-48432.7*(1)</f>
        <v>-48432.7</v>
      </c>
      <c r="E19" s="25">
        <f t="shared" ref="E19:F19" si="2">10000*(-1)</f>
        <v>-10000</v>
      </c>
      <c r="F19" s="25">
        <f t="shared" si="2"/>
        <v>-10000</v>
      </c>
      <c r="G19" s="49">
        <f>IF(0=0,F19,0)</f>
        <v>-10000</v>
      </c>
      <c r="H19" s="18">
        <f>128621.36*1</f>
        <v>128621.36</v>
      </c>
      <c r="I19" s="25">
        <f t="shared" ref="I19:J19" si="3">60000*1</f>
        <v>60000</v>
      </c>
      <c r="J19" s="25">
        <f t="shared" si="3"/>
        <v>60000</v>
      </c>
      <c r="K19" s="49">
        <f>IF(0=0,J19,0)</f>
        <v>60000</v>
      </c>
      <c r="L19" s="18">
        <f t="shared" ref="L19:O19" si="4">D19+H19</f>
        <v>80188.66</v>
      </c>
      <c r="M19" s="18">
        <f t="shared" si="4"/>
        <v>50000</v>
      </c>
      <c r="N19" s="18">
        <f t="shared" si="4"/>
        <v>50000</v>
      </c>
      <c r="O19" s="42">
        <f t="shared" si="4"/>
        <v>50000</v>
      </c>
      <c r="P19" s="60"/>
    </row>
    <row r="20" spans="1:16" x14ac:dyDescent="0.3">
      <c r="A20" s="50"/>
      <c r="B20" s="33"/>
      <c r="C20" s="33"/>
      <c r="D20" s="23"/>
      <c r="E20" s="6"/>
      <c r="F20" s="6"/>
      <c r="G20" s="13"/>
      <c r="H20" s="23"/>
      <c r="I20" s="6"/>
      <c r="J20" s="6"/>
      <c r="K20" s="13"/>
      <c r="L20" s="23"/>
      <c r="M20" s="6"/>
      <c r="N20" s="6"/>
      <c r="O20" s="13"/>
      <c r="P20" s="13"/>
    </row>
    <row r="21" spans="1:16" x14ac:dyDescent="0.3">
      <c r="A21" s="50"/>
      <c r="B21" s="38"/>
      <c r="C21" s="38"/>
      <c r="D21" s="24"/>
      <c r="E21" s="5"/>
      <c r="F21" s="5"/>
      <c r="G21" s="12"/>
      <c r="H21" s="24"/>
      <c r="I21" s="5"/>
      <c r="J21" s="5"/>
      <c r="K21" s="12"/>
      <c r="L21" s="24"/>
      <c r="M21" s="5"/>
      <c r="N21" s="5"/>
      <c r="O21" s="12"/>
      <c r="P21" s="12"/>
    </row>
    <row r="22" spans="1:16" ht="15" thickBot="1" x14ac:dyDescent="0.35">
      <c r="A22" s="52"/>
      <c r="B22" s="31"/>
      <c r="C22" s="31" t="s">
        <v>9</v>
      </c>
      <c r="D22" s="39">
        <f t="shared" ref="D22:K22" si="5">SUM(D19)</f>
        <v>-48432.7</v>
      </c>
      <c r="E22" s="28">
        <f t="shared" si="5"/>
        <v>-10000</v>
      </c>
      <c r="F22" s="28">
        <f t="shared" si="5"/>
        <v>-10000</v>
      </c>
      <c r="G22" s="27">
        <f t="shared" si="5"/>
        <v>-10000</v>
      </c>
      <c r="H22" s="39">
        <f t="shared" si="5"/>
        <v>128621.36</v>
      </c>
      <c r="I22" s="28">
        <f t="shared" si="5"/>
        <v>60000</v>
      </c>
      <c r="J22" s="40">
        <f t="shared" si="5"/>
        <v>60000</v>
      </c>
      <c r="K22" s="27">
        <f t="shared" si="5"/>
        <v>60000</v>
      </c>
      <c r="L22" s="26">
        <f t="shared" ref="L22:O22" si="6">D22+H22</f>
        <v>80188.66</v>
      </c>
      <c r="M22" s="26">
        <f t="shared" si="6"/>
        <v>50000</v>
      </c>
      <c r="N22" s="26">
        <f t="shared" si="6"/>
        <v>50000</v>
      </c>
      <c r="O22" s="27">
        <f t="shared" si="6"/>
        <v>50000</v>
      </c>
      <c r="P22" s="56"/>
    </row>
    <row r="23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1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42</v>
      </c>
      <c r="H8" s="41" t="s">
        <v>61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SUM(D19:D27)</f>
        <v>-961166.77</v>
      </c>
      <c r="E16" s="16">
        <f t="shared" si="0"/>
        <v>-1060000</v>
      </c>
      <c r="F16" s="16">
        <f t="shared" si="0"/>
        <v>-1060000</v>
      </c>
      <c r="G16" s="17">
        <f t="shared" si="0"/>
        <v>-1060000</v>
      </c>
      <c r="H16" s="10">
        <f t="shared" si="0"/>
        <v>974486.17</v>
      </c>
      <c r="I16" s="16">
        <f t="shared" si="0"/>
        <v>940000</v>
      </c>
      <c r="J16" s="16">
        <f t="shared" si="0"/>
        <v>940000</v>
      </c>
      <c r="K16" s="17">
        <f t="shared" si="0"/>
        <v>940000</v>
      </c>
      <c r="L16" s="10">
        <f t="shared" ref="L16:O16" si="1">D16+H16</f>
        <v>13319.400000000023</v>
      </c>
      <c r="M16" s="10">
        <f t="shared" si="1"/>
        <v>-120000</v>
      </c>
      <c r="N16" s="10">
        <f t="shared" si="1"/>
        <v>-120000</v>
      </c>
      <c r="O16" s="17">
        <f t="shared" si="1"/>
        <v>-120000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B19" s="33">
        <v>20001</v>
      </c>
      <c r="C19" s="33" t="s">
        <v>11</v>
      </c>
      <c r="D19" s="18">
        <f>-1952*(1)</f>
        <v>-1952</v>
      </c>
      <c r="E19" s="25">
        <f t="shared" ref="E19:F19" si="2">50000*(-1)</f>
        <v>-50000</v>
      </c>
      <c r="F19" s="25">
        <f t="shared" si="2"/>
        <v>-50000</v>
      </c>
      <c r="G19" s="49">
        <f t="shared" ref="G19:G27" si="3">IF(0=0,F19,0)</f>
        <v>-50000</v>
      </c>
      <c r="H19" s="18">
        <f>7030*1</f>
        <v>7030</v>
      </c>
      <c r="I19" s="25">
        <f t="shared" ref="I19:J19" si="4">50000*1</f>
        <v>50000</v>
      </c>
      <c r="J19" s="25">
        <f t="shared" si="4"/>
        <v>50000</v>
      </c>
      <c r="K19" s="49">
        <f t="shared" ref="K19:K27" si="5">IF(0=0,J19,0)</f>
        <v>50000</v>
      </c>
      <c r="L19" s="18">
        <f t="shared" ref="L19:O27" si="6">D19+H19</f>
        <v>5078</v>
      </c>
      <c r="M19" s="18">
        <f t="shared" si="6"/>
        <v>0</v>
      </c>
      <c r="N19" s="18">
        <f t="shared" si="6"/>
        <v>0</v>
      </c>
      <c r="O19" s="42">
        <f t="shared" si="6"/>
        <v>0</v>
      </c>
      <c r="P19" s="60"/>
    </row>
    <row r="20" spans="1:16" x14ac:dyDescent="0.3">
      <c r="B20" s="33">
        <v>20002</v>
      </c>
      <c r="C20" s="33" t="s">
        <v>16</v>
      </c>
      <c r="D20" s="18">
        <f>0*(1)</f>
        <v>0</v>
      </c>
      <c r="E20" s="25">
        <f t="shared" ref="E20:F20" si="7">30000*(-1)</f>
        <v>-30000</v>
      </c>
      <c r="F20" s="25">
        <f t="shared" si="7"/>
        <v>-30000</v>
      </c>
      <c r="G20" s="49">
        <f t="shared" si="3"/>
        <v>-30000</v>
      </c>
      <c r="H20" s="18">
        <f>0*1</f>
        <v>0</v>
      </c>
      <c r="I20" s="25">
        <f t="shared" ref="I20:J20" si="8">40000*1</f>
        <v>40000</v>
      </c>
      <c r="J20" s="25">
        <f t="shared" si="8"/>
        <v>40000</v>
      </c>
      <c r="K20" s="49">
        <f t="shared" si="5"/>
        <v>40000</v>
      </c>
      <c r="L20" s="18">
        <f t="shared" si="6"/>
        <v>0</v>
      </c>
      <c r="M20" s="18">
        <f t="shared" si="6"/>
        <v>10000</v>
      </c>
      <c r="N20" s="18">
        <f t="shared" si="6"/>
        <v>10000</v>
      </c>
      <c r="O20" s="42">
        <f t="shared" si="6"/>
        <v>10000</v>
      </c>
      <c r="P20" s="60"/>
    </row>
    <row r="21" spans="1:16" x14ac:dyDescent="0.3">
      <c r="B21" s="33">
        <v>20003</v>
      </c>
      <c r="C21" s="33" t="s">
        <v>25</v>
      </c>
      <c r="D21" s="18">
        <f>-29932*(1)</f>
        <v>-29932</v>
      </c>
      <c r="E21" s="25">
        <f t="shared" ref="E21:F24" si="9">0*(-1)</f>
        <v>0</v>
      </c>
      <c r="F21" s="25">
        <f t="shared" si="9"/>
        <v>0</v>
      </c>
      <c r="G21" s="49">
        <f t="shared" si="3"/>
        <v>0</v>
      </c>
      <c r="H21" s="18">
        <f>21593*1</f>
        <v>21593</v>
      </c>
      <c r="I21" s="25">
        <f t="shared" ref="I21:J21" si="10">50000*1</f>
        <v>50000</v>
      </c>
      <c r="J21" s="25">
        <f t="shared" si="10"/>
        <v>50000</v>
      </c>
      <c r="K21" s="49">
        <f t="shared" si="5"/>
        <v>50000</v>
      </c>
      <c r="L21" s="18">
        <f t="shared" si="6"/>
        <v>-8339</v>
      </c>
      <c r="M21" s="18">
        <f t="shared" si="6"/>
        <v>50000</v>
      </c>
      <c r="N21" s="18">
        <f t="shared" si="6"/>
        <v>50000</v>
      </c>
      <c r="O21" s="42">
        <f t="shared" si="6"/>
        <v>50000</v>
      </c>
      <c r="P21" s="60"/>
    </row>
    <row r="22" spans="1:16" x14ac:dyDescent="0.3">
      <c r="B22" s="33">
        <v>20006</v>
      </c>
      <c r="C22" s="33" t="s">
        <v>66</v>
      </c>
      <c r="D22" s="18">
        <f t="shared" ref="D22:D23" si="11">0*(1)</f>
        <v>0</v>
      </c>
      <c r="E22" s="25">
        <f t="shared" si="9"/>
        <v>0</v>
      </c>
      <c r="F22" s="25">
        <f t="shared" si="9"/>
        <v>0</v>
      </c>
      <c r="G22" s="49">
        <f t="shared" si="3"/>
        <v>0</v>
      </c>
      <c r="H22" s="18">
        <f>0*1</f>
        <v>0</v>
      </c>
      <c r="I22" s="25">
        <f t="shared" ref="I22:J22" si="12">20000*1</f>
        <v>20000</v>
      </c>
      <c r="J22" s="25">
        <f t="shared" si="12"/>
        <v>20000</v>
      </c>
      <c r="K22" s="49">
        <f t="shared" si="5"/>
        <v>20000</v>
      </c>
      <c r="L22" s="18">
        <f t="shared" si="6"/>
        <v>0</v>
      </c>
      <c r="M22" s="18">
        <f t="shared" si="6"/>
        <v>20000</v>
      </c>
      <c r="N22" s="18">
        <f t="shared" si="6"/>
        <v>20000</v>
      </c>
      <c r="O22" s="42">
        <f t="shared" si="6"/>
        <v>20000</v>
      </c>
      <c r="P22" s="60"/>
    </row>
    <row r="23" spans="1:16" x14ac:dyDescent="0.3">
      <c r="B23" s="33">
        <v>20007</v>
      </c>
      <c r="C23" s="33" t="s">
        <v>22</v>
      </c>
      <c r="D23" s="18">
        <f t="shared" si="11"/>
        <v>0</v>
      </c>
      <c r="E23" s="25">
        <f t="shared" si="9"/>
        <v>0</v>
      </c>
      <c r="F23" s="25">
        <f t="shared" si="9"/>
        <v>0</v>
      </c>
      <c r="G23" s="49">
        <f t="shared" si="3"/>
        <v>0</v>
      </c>
      <c r="H23" s="18">
        <f>72990*1</f>
        <v>72990</v>
      </c>
      <c r="I23" s="25">
        <f t="shared" ref="I23:J24" si="13">0*1</f>
        <v>0</v>
      </c>
      <c r="J23" s="25">
        <f t="shared" si="13"/>
        <v>0</v>
      </c>
      <c r="K23" s="49">
        <f t="shared" si="5"/>
        <v>0</v>
      </c>
      <c r="L23" s="18">
        <f t="shared" si="6"/>
        <v>72990</v>
      </c>
      <c r="M23" s="18">
        <f t="shared" si="6"/>
        <v>0</v>
      </c>
      <c r="N23" s="18">
        <f t="shared" si="6"/>
        <v>0</v>
      </c>
      <c r="O23" s="42">
        <f t="shared" si="6"/>
        <v>0</v>
      </c>
      <c r="P23" s="60"/>
    </row>
    <row r="24" spans="1:16" x14ac:dyDescent="0.3">
      <c r="B24" s="33">
        <v>20008</v>
      </c>
      <c r="C24" s="33" t="s">
        <v>78</v>
      </c>
      <c r="D24" s="18">
        <f>-30000*(1)</f>
        <v>-30000</v>
      </c>
      <c r="E24" s="25">
        <f t="shared" si="9"/>
        <v>0</v>
      </c>
      <c r="F24" s="25">
        <f t="shared" si="9"/>
        <v>0</v>
      </c>
      <c r="G24" s="49">
        <f t="shared" si="3"/>
        <v>0</v>
      </c>
      <c r="H24" s="18">
        <f>191571.9*1</f>
        <v>191571.9</v>
      </c>
      <c r="I24" s="25">
        <f t="shared" si="13"/>
        <v>0</v>
      </c>
      <c r="J24" s="25">
        <f t="shared" si="13"/>
        <v>0</v>
      </c>
      <c r="K24" s="49">
        <f t="shared" si="5"/>
        <v>0</v>
      </c>
      <c r="L24" s="18">
        <f t="shared" si="6"/>
        <v>161571.9</v>
      </c>
      <c r="M24" s="18">
        <f t="shared" si="6"/>
        <v>0</v>
      </c>
      <c r="N24" s="18">
        <f t="shared" si="6"/>
        <v>0</v>
      </c>
      <c r="O24" s="42">
        <f t="shared" si="6"/>
        <v>0</v>
      </c>
      <c r="P24" s="60"/>
    </row>
    <row r="25" spans="1:16" x14ac:dyDescent="0.3">
      <c r="B25" s="33">
        <v>20100</v>
      </c>
      <c r="C25" s="33" t="s">
        <v>36</v>
      </c>
      <c r="D25" s="18">
        <f>-846207.85*(1)</f>
        <v>-846207.85</v>
      </c>
      <c r="E25" s="25">
        <f t="shared" ref="E25:F25" si="14">940000*(-1)</f>
        <v>-940000</v>
      </c>
      <c r="F25" s="25">
        <f t="shared" si="14"/>
        <v>-940000</v>
      </c>
      <c r="G25" s="49">
        <f t="shared" si="3"/>
        <v>-940000</v>
      </c>
      <c r="H25" s="18">
        <f>680301.27*1</f>
        <v>680301.27</v>
      </c>
      <c r="I25" s="25">
        <f t="shared" ref="I25:J25" si="15">780000*1</f>
        <v>780000</v>
      </c>
      <c r="J25" s="25">
        <f t="shared" si="15"/>
        <v>780000</v>
      </c>
      <c r="K25" s="49">
        <f t="shared" si="5"/>
        <v>780000</v>
      </c>
      <c r="L25" s="18">
        <f t="shared" si="6"/>
        <v>-165906.57999999996</v>
      </c>
      <c r="M25" s="18">
        <f t="shared" si="6"/>
        <v>-160000</v>
      </c>
      <c r="N25" s="18">
        <f t="shared" si="6"/>
        <v>-160000</v>
      </c>
      <c r="O25" s="42">
        <f t="shared" si="6"/>
        <v>-160000</v>
      </c>
      <c r="P25" s="60"/>
    </row>
    <row r="26" spans="1:16" x14ac:dyDescent="0.3">
      <c r="B26" s="33">
        <v>20110</v>
      </c>
      <c r="C26" s="33" t="s">
        <v>67</v>
      </c>
      <c r="D26" s="18">
        <f>-53074.92*(1)</f>
        <v>-53074.92</v>
      </c>
      <c r="E26" s="25">
        <f t="shared" ref="E26:F26" si="16">40000*(-1)</f>
        <v>-40000</v>
      </c>
      <c r="F26" s="25">
        <f t="shared" si="16"/>
        <v>-40000</v>
      </c>
      <c r="G26" s="49">
        <f t="shared" si="3"/>
        <v>-40000</v>
      </c>
      <c r="H26" s="18">
        <f t="shared" ref="H26:J26" si="17">0*1</f>
        <v>0</v>
      </c>
      <c r="I26" s="25">
        <f t="shared" si="17"/>
        <v>0</v>
      </c>
      <c r="J26" s="25">
        <f t="shared" si="17"/>
        <v>0</v>
      </c>
      <c r="K26" s="49">
        <f t="shared" si="5"/>
        <v>0</v>
      </c>
      <c r="L26" s="18">
        <f t="shared" si="6"/>
        <v>-53074.92</v>
      </c>
      <c r="M26" s="18">
        <f t="shared" si="6"/>
        <v>-40000</v>
      </c>
      <c r="N26" s="18">
        <f t="shared" si="6"/>
        <v>-40000</v>
      </c>
      <c r="O26" s="42">
        <f t="shared" si="6"/>
        <v>-40000</v>
      </c>
      <c r="P26" s="60"/>
    </row>
    <row r="27" spans="1:16" x14ac:dyDescent="0.3">
      <c r="B27" s="33">
        <v>95000</v>
      </c>
      <c r="C27" s="33" t="s">
        <v>37</v>
      </c>
      <c r="D27" s="18">
        <f>0*(1)</f>
        <v>0</v>
      </c>
      <c r="E27" s="25">
        <f t="shared" ref="E27:F27" si="18">0*(-1)</f>
        <v>0</v>
      </c>
      <c r="F27" s="25">
        <f t="shared" si="18"/>
        <v>0</v>
      </c>
      <c r="G27" s="49">
        <f t="shared" si="3"/>
        <v>0</v>
      </c>
      <c r="H27" s="18">
        <f>1000*1</f>
        <v>1000</v>
      </c>
      <c r="I27" s="25">
        <f t="shared" ref="I27:J27" si="19">0*1</f>
        <v>0</v>
      </c>
      <c r="J27" s="25">
        <f t="shared" si="19"/>
        <v>0</v>
      </c>
      <c r="K27" s="49">
        <f t="shared" si="5"/>
        <v>0</v>
      </c>
      <c r="L27" s="18">
        <f t="shared" si="6"/>
        <v>1000</v>
      </c>
      <c r="M27" s="18">
        <f t="shared" si="6"/>
        <v>0</v>
      </c>
      <c r="N27" s="18">
        <f t="shared" si="6"/>
        <v>0</v>
      </c>
      <c r="O27" s="42">
        <f t="shared" si="6"/>
        <v>0</v>
      </c>
      <c r="P27" s="60"/>
    </row>
    <row r="28" spans="1:16" x14ac:dyDescent="0.3">
      <c r="A28" s="50"/>
      <c r="B28" s="33"/>
      <c r="C28" s="33"/>
      <c r="D28" s="23"/>
      <c r="E28" s="6"/>
      <c r="F28" s="6"/>
      <c r="G28" s="13"/>
      <c r="H28" s="23"/>
      <c r="I28" s="6"/>
      <c r="J28" s="6"/>
      <c r="K28" s="13"/>
      <c r="L28" s="23"/>
      <c r="M28" s="6"/>
      <c r="N28" s="6"/>
      <c r="O28" s="13"/>
      <c r="P28" s="13"/>
    </row>
    <row r="29" spans="1:16" x14ac:dyDescent="0.3">
      <c r="A29" s="50"/>
      <c r="B29" s="38"/>
      <c r="C29" s="38"/>
      <c r="D29" s="24"/>
      <c r="E29" s="5"/>
      <c r="F29" s="5"/>
      <c r="G29" s="12"/>
      <c r="H29" s="24"/>
      <c r="I29" s="5"/>
      <c r="J29" s="5"/>
      <c r="K29" s="12"/>
      <c r="L29" s="24"/>
      <c r="M29" s="5"/>
      <c r="N29" s="5"/>
      <c r="O29" s="12"/>
      <c r="P29" s="12"/>
    </row>
    <row r="30" spans="1:16" ht="15" thickBot="1" x14ac:dyDescent="0.35">
      <c r="A30" s="52"/>
      <c r="B30" s="31"/>
      <c r="C30" s="31" t="s">
        <v>9</v>
      </c>
      <c r="D30" s="39">
        <f t="shared" ref="D30:K30" si="20">SUM(D19:D27)</f>
        <v>-961166.77</v>
      </c>
      <c r="E30" s="28">
        <f t="shared" si="20"/>
        <v>-1060000</v>
      </c>
      <c r="F30" s="28">
        <f t="shared" si="20"/>
        <v>-1060000</v>
      </c>
      <c r="G30" s="27">
        <f t="shared" si="20"/>
        <v>-1060000</v>
      </c>
      <c r="H30" s="39">
        <f t="shared" si="20"/>
        <v>974486.17</v>
      </c>
      <c r="I30" s="28">
        <f t="shared" si="20"/>
        <v>940000</v>
      </c>
      <c r="J30" s="40">
        <f t="shared" si="20"/>
        <v>940000</v>
      </c>
      <c r="K30" s="27">
        <f t="shared" si="20"/>
        <v>940000</v>
      </c>
      <c r="L30" s="26">
        <f t="shared" ref="L30:O30" si="21">D30+H30</f>
        <v>13319.400000000023</v>
      </c>
      <c r="M30" s="26">
        <f t="shared" si="21"/>
        <v>-120000</v>
      </c>
      <c r="N30" s="26">
        <f t="shared" si="21"/>
        <v>-120000</v>
      </c>
      <c r="O30" s="27">
        <f t="shared" si="21"/>
        <v>-120000</v>
      </c>
      <c r="P30" s="56"/>
    </row>
    <row r="31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8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26</v>
      </c>
      <c r="H8" s="41" t="s">
        <v>15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SUM(D19:D24)</f>
        <v>-67604</v>
      </c>
      <c r="E16" s="16">
        <f t="shared" si="0"/>
        <v>-215000</v>
      </c>
      <c r="F16" s="16">
        <f t="shared" si="0"/>
        <v>-215000</v>
      </c>
      <c r="G16" s="17">
        <f t="shared" si="0"/>
        <v>-215000</v>
      </c>
      <c r="H16" s="10">
        <f t="shared" si="0"/>
        <v>34020</v>
      </c>
      <c r="I16" s="16">
        <f t="shared" si="0"/>
        <v>212000</v>
      </c>
      <c r="J16" s="16">
        <f t="shared" si="0"/>
        <v>212000</v>
      </c>
      <c r="K16" s="17">
        <f t="shared" si="0"/>
        <v>212000</v>
      </c>
      <c r="L16" s="10">
        <f t="shared" ref="L16:O16" si="1">D16+H16</f>
        <v>-33584</v>
      </c>
      <c r="M16" s="10">
        <f t="shared" si="1"/>
        <v>-3000</v>
      </c>
      <c r="N16" s="10">
        <f t="shared" si="1"/>
        <v>-3000</v>
      </c>
      <c r="O16" s="17">
        <f t="shared" si="1"/>
        <v>-3000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B19" s="33">
        <v>30001</v>
      </c>
      <c r="C19" s="33" t="s">
        <v>71</v>
      </c>
      <c r="D19" s="18">
        <f t="shared" ref="D19:D20" si="2">0*(1)</f>
        <v>0</v>
      </c>
      <c r="E19" s="25">
        <f t="shared" ref="E19:F19" si="3">10000*(-1)</f>
        <v>-10000</v>
      </c>
      <c r="F19" s="25">
        <f t="shared" si="3"/>
        <v>-10000</v>
      </c>
      <c r="G19" s="49">
        <f t="shared" ref="G19:G24" si="4">IF(0=0,F19,0)</f>
        <v>-10000</v>
      </c>
      <c r="H19" s="18">
        <f t="shared" ref="H19:H20" si="5">0*1</f>
        <v>0</v>
      </c>
      <c r="I19" s="25">
        <f t="shared" ref="I19:J19" si="6">10000*1</f>
        <v>10000</v>
      </c>
      <c r="J19" s="25">
        <f t="shared" si="6"/>
        <v>10000</v>
      </c>
      <c r="K19" s="49">
        <f t="shared" ref="K19:K24" si="7">IF(0=0,J19,0)</f>
        <v>10000</v>
      </c>
      <c r="L19" s="18">
        <f t="shared" ref="L19:O24" si="8">D19+H19</f>
        <v>0</v>
      </c>
      <c r="M19" s="18">
        <f t="shared" si="8"/>
        <v>0</v>
      </c>
      <c r="N19" s="18">
        <f t="shared" si="8"/>
        <v>0</v>
      </c>
      <c r="O19" s="42">
        <f t="shared" si="8"/>
        <v>0</v>
      </c>
      <c r="P19" s="60"/>
    </row>
    <row r="20" spans="1:16" x14ac:dyDescent="0.3">
      <c r="B20" s="33">
        <v>30002</v>
      </c>
      <c r="C20" s="33" t="s">
        <v>72</v>
      </c>
      <c r="D20" s="18">
        <f t="shared" si="2"/>
        <v>0</v>
      </c>
      <c r="E20" s="25">
        <f t="shared" ref="E20:F20" si="9">45000*(-1)</f>
        <v>-45000</v>
      </c>
      <c r="F20" s="25">
        <f t="shared" si="9"/>
        <v>-45000</v>
      </c>
      <c r="G20" s="49">
        <f t="shared" si="4"/>
        <v>-45000</v>
      </c>
      <c r="H20" s="18">
        <f t="shared" si="5"/>
        <v>0</v>
      </c>
      <c r="I20" s="25">
        <f t="shared" ref="I20:J20" si="10">52000*1</f>
        <v>52000</v>
      </c>
      <c r="J20" s="25">
        <f t="shared" si="10"/>
        <v>52000</v>
      </c>
      <c r="K20" s="49">
        <f t="shared" si="7"/>
        <v>52000</v>
      </c>
      <c r="L20" s="18">
        <f t="shared" si="8"/>
        <v>0</v>
      </c>
      <c r="M20" s="18">
        <f t="shared" si="8"/>
        <v>7000</v>
      </c>
      <c r="N20" s="18">
        <f t="shared" si="8"/>
        <v>7000</v>
      </c>
      <c r="O20" s="42">
        <f t="shared" si="8"/>
        <v>7000</v>
      </c>
      <c r="P20" s="60"/>
    </row>
    <row r="21" spans="1:16" x14ac:dyDescent="0.3">
      <c r="B21" s="33">
        <v>30100</v>
      </c>
      <c r="C21" s="33" t="s">
        <v>82</v>
      </c>
      <c r="D21" s="18">
        <f>-67604*(1)</f>
        <v>-67604</v>
      </c>
      <c r="E21" s="25">
        <f t="shared" ref="E21:F21" si="11">120000*(-1)</f>
        <v>-120000</v>
      </c>
      <c r="F21" s="25">
        <f t="shared" si="11"/>
        <v>-120000</v>
      </c>
      <c r="G21" s="49">
        <f t="shared" si="4"/>
        <v>-120000</v>
      </c>
      <c r="H21" s="18">
        <f>18120*1</f>
        <v>18120</v>
      </c>
      <c r="I21" s="25">
        <f t="shared" ref="I21:J21" si="12">80000*1</f>
        <v>80000</v>
      </c>
      <c r="J21" s="25">
        <f t="shared" si="12"/>
        <v>80000</v>
      </c>
      <c r="K21" s="49">
        <f t="shared" si="7"/>
        <v>80000</v>
      </c>
      <c r="L21" s="18">
        <f t="shared" si="8"/>
        <v>-49484</v>
      </c>
      <c r="M21" s="18">
        <f t="shared" si="8"/>
        <v>-40000</v>
      </c>
      <c r="N21" s="18">
        <f t="shared" si="8"/>
        <v>-40000</v>
      </c>
      <c r="O21" s="42">
        <f t="shared" si="8"/>
        <v>-40000</v>
      </c>
      <c r="P21" s="60"/>
    </row>
    <row r="22" spans="1:16" x14ac:dyDescent="0.3">
      <c r="B22" s="33">
        <v>30300</v>
      </c>
      <c r="C22" s="33" t="s">
        <v>43</v>
      </c>
      <c r="D22" s="18">
        <f t="shared" ref="D22:D24" si="13">0*(1)</f>
        <v>0</v>
      </c>
      <c r="E22" s="25">
        <f t="shared" ref="E22:F23" si="14">20000*(-1)</f>
        <v>-20000</v>
      </c>
      <c r="F22" s="25">
        <f t="shared" si="14"/>
        <v>-20000</v>
      </c>
      <c r="G22" s="49">
        <f t="shared" si="4"/>
        <v>-20000</v>
      </c>
      <c r="H22" s="18">
        <f t="shared" ref="H22:H23" si="15">0*1</f>
        <v>0</v>
      </c>
      <c r="I22" s="25">
        <f t="shared" ref="I22:J23" si="16">30000*1</f>
        <v>30000</v>
      </c>
      <c r="J22" s="25">
        <f t="shared" si="16"/>
        <v>30000</v>
      </c>
      <c r="K22" s="49">
        <f t="shared" si="7"/>
        <v>30000</v>
      </c>
      <c r="L22" s="18">
        <f t="shared" si="8"/>
        <v>0</v>
      </c>
      <c r="M22" s="18">
        <f t="shared" si="8"/>
        <v>10000</v>
      </c>
      <c r="N22" s="18">
        <f t="shared" si="8"/>
        <v>10000</v>
      </c>
      <c r="O22" s="42">
        <f t="shared" si="8"/>
        <v>10000</v>
      </c>
      <c r="P22" s="60"/>
    </row>
    <row r="23" spans="1:16" x14ac:dyDescent="0.3">
      <c r="B23" s="33">
        <v>30310</v>
      </c>
      <c r="C23" s="33" t="s">
        <v>54</v>
      </c>
      <c r="D23" s="18">
        <f t="shared" si="13"/>
        <v>0</v>
      </c>
      <c r="E23" s="25">
        <f t="shared" si="14"/>
        <v>-20000</v>
      </c>
      <c r="F23" s="25">
        <f t="shared" si="14"/>
        <v>-20000</v>
      </c>
      <c r="G23" s="49">
        <f t="shared" si="4"/>
        <v>-20000</v>
      </c>
      <c r="H23" s="18">
        <f t="shared" si="15"/>
        <v>0</v>
      </c>
      <c r="I23" s="25">
        <f t="shared" si="16"/>
        <v>30000</v>
      </c>
      <c r="J23" s="25">
        <f t="shared" si="16"/>
        <v>30000</v>
      </c>
      <c r="K23" s="49">
        <f t="shared" si="7"/>
        <v>30000</v>
      </c>
      <c r="L23" s="18">
        <f t="shared" si="8"/>
        <v>0</v>
      </c>
      <c r="M23" s="18">
        <f t="shared" si="8"/>
        <v>10000</v>
      </c>
      <c r="N23" s="18">
        <f t="shared" si="8"/>
        <v>10000</v>
      </c>
      <c r="O23" s="42">
        <f t="shared" si="8"/>
        <v>10000</v>
      </c>
      <c r="P23" s="60"/>
    </row>
    <row r="24" spans="1:16" x14ac:dyDescent="0.3">
      <c r="B24" s="33">
        <v>30600</v>
      </c>
      <c r="C24" s="33" t="s">
        <v>44</v>
      </c>
      <c r="D24" s="18">
        <f t="shared" si="13"/>
        <v>0</v>
      </c>
      <c r="E24" s="25">
        <f t="shared" ref="E24:F24" si="17">0*(-1)</f>
        <v>0</v>
      </c>
      <c r="F24" s="25">
        <f t="shared" si="17"/>
        <v>0</v>
      </c>
      <c r="G24" s="49">
        <f t="shared" si="4"/>
        <v>0</v>
      </c>
      <c r="H24" s="18">
        <f>15900*1</f>
        <v>15900</v>
      </c>
      <c r="I24" s="25">
        <f t="shared" ref="I24:J24" si="18">10000*1</f>
        <v>10000</v>
      </c>
      <c r="J24" s="25">
        <f t="shared" si="18"/>
        <v>10000</v>
      </c>
      <c r="K24" s="49">
        <f t="shared" si="7"/>
        <v>10000</v>
      </c>
      <c r="L24" s="18">
        <f t="shared" si="8"/>
        <v>15900</v>
      </c>
      <c r="M24" s="18">
        <f t="shared" si="8"/>
        <v>10000</v>
      </c>
      <c r="N24" s="18">
        <f t="shared" si="8"/>
        <v>10000</v>
      </c>
      <c r="O24" s="42">
        <f t="shared" si="8"/>
        <v>10000</v>
      </c>
      <c r="P24" s="60"/>
    </row>
    <row r="25" spans="1:16" x14ac:dyDescent="0.3">
      <c r="A25" s="50"/>
      <c r="B25" s="33"/>
      <c r="C25" s="33"/>
      <c r="D25" s="23"/>
      <c r="E25" s="6"/>
      <c r="F25" s="6"/>
      <c r="G25" s="13"/>
      <c r="H25" s="23"/>
      <c r="I25" s="6"/>
      <c r="J25" s="6"/>
      <c r="K25" s="13"/>
      <c r="L25" s="23"/>
      <c r="M25" s="6"/>
      <c r="N25" s="6"/>
      <c r="O25" s="13"/>
      <c r="P25" s="13"/>
    </row>
    <row r="26" spans="1:16" x14ac:dyDescent="0.3">
      <c r="A26" s="50"/>
      <c r="B26" s="38"/>
      <c r="C26" s="38"/>
      <c r="D26" s="24"/>
      <c r="E26" s="5"/>
      <c r="F26" s="5"/>
      <c r="G26" s="12"/>
      <c r="H26" s="24"/>
      <c r="I26" s="5"/>
      <c r="J26" s="5"/>
      <c r="K26" s="12"/>
      <c r="L26" s="24"/>
      <c r="M26" s="5"/>
      <c r="N26" s="5"/>
      <c r="O26" s="12"/>
      <c r="P26" s="12"/>
    </row>
    <row r="27" spans="1:16" ht="15" thickBot="1" x14ac:dyDescent="0.35">
      <c r="A27" s="52"/>
      <c r="B27" s="31"/>
      <c r="C27" s="31" t="s">
        <v>9</v>
      </c>
      <c r="D27" s="39">
        <f t="shared" ref="D27:K27" si="19">SUM(D19:D24)</f>
        <v>-67604</v>
      </c>
      <c r="E27" s="28">
        <f t="shared" si="19"/>
        <v>-215000</v>
      </c>
      <c r="F27" s="28">
        <f t="shared" si="19"/>
        <v>-215000</v>
      </c>
      <c r="G27" s="27">
        <f t="shared" si="19"/>
        <v>-215000</v>
      </c>
      <c r="H27" s="39">
        <f t="shared" si="19"/>
        <v>34020</v>
      </c>
      <c r="I27" s="28">
        <f t="shared" si="19"/>
        <v>212000</v>
      </c>
      <c r="J27" s="40">
        <f t="shared" si="19"/>
        <v>212000</v>
      </c>
      <c r="K27" s="27">
        <f t="shared" si="19"/>
        <v>212000</v>
      </c>
      <c r="L27" s="26">
        <f t="shared" ref="L27:O27" si="20">D27+H27</f>
        <v>-33584</v>
      </c>
      <c r="M27" s="26">
        <f t="shared" si="20"/>
        <v>-3000</v>
      </c>
      <c r="N27" s="26">
        <f t="shared" si="20"/>
        <v>-3000</v>
      </c>
      <c r="O27" s="27">
        <f t="shared" si="20"/>
        <v>-3000</v>
      </c>
      <c r="P27" s="56"/>
    </row>
    <row r="28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4</v>
      </c>
      <c r="H8" s="41" t="s">
        <v>83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SUM(0)</f>
        <v>0</v>
      </c>
      <c r="E16" s="16">
        <f t="shared" si="0"/>
        <v>0</v>
      </c>
      <c r="F16" s="16">
        <f t="shared" si="0"/>
        <v>0</v>
      </c>
      <c r="G16" s="17">
        <f t="shared" si="0"/>
        <v>0</v>
      </c>
      <c r="H16" s="10">
        <f t="shared" si="0"/>
        <v>0</v>
      </c>
      <c r="I16" s="16">
        <f t="shared" si="0"/>
        <v>0</v>
      </c>
      <c r="J16" s="16">
        <f t="shared" si="0"/>
        <v>0</v>
      </c>
      <c r="K16" s="17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7">
        <f t="shared" si="1"/>
        <v>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A19" s="50"/>
      <c r="B19" s="33"/>
      <c r="C19" s="33"/>
      <c r="D19" s="23"/>
      <c r="E19" s="6"/>
      <c r="F19" s="6"/>
      <c r="G19" s="13"/>
      <c r="H19" s="23"/>
      <c r="I19" s="6"/>
      <c r="J19" s="6"/>
      <c r="K19" s="13"/>
      <c r="L19" s="23"/>
      <c r="M19" s="6"/>
      <c r="N19" s="6"/>
      <c r="O19" s="13"/>
      <c r="P19" s="13"/>
    </row>
    <row r="20" spans="1:16" x14ac:dyDescent="0.3">
      <c r="A20" s="50"/>
      <c r="B20" s="38"/>
      <c r="C20" s="38"/>
      <c r="D20" s="24"/>
      <c r="E20" s="5"/>
      <c r="F20" s="5"/>
      <c r="G20" s="12"/>
      <c r="H20" s="24"/>
      <c r="I20" s="5"/>
      <c r="J20" s="5"/>
      <c r="K20" s="12"/>
      <c r="L20" s="24"/>
      <c r="M20" s="5"/>
      <c r="N20" s="5"/>
      <c r="O20" s="12"/>
      <c r="P20" s="12"/>
    </row>
    <row r="21" spans="1:16" ht="15" thickBot="1" x14ac:dyDescent="0.35">
      <c r="A21" s="52"/>
      <c r="B21" s="31"/>
      <c r="C21" s="31" t="s">
        <v>9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6">
        <f t="shared" ref="L21:O21" si="3">D21+H21</f>
        <v>0</v>
      </c>
      <c r="M21" s="26">
        <f t="shared" si="3"/>
        <v>0</v>
      </c>
      <c r="N21" s="26">
        <f t="shared" si="3"/>
        <v>0</v>
      </c>
      <c r="O21" s="27">
        <f t="shared" si="3"/>
        <v>0</v>
      </c>
      <c r="P21" s="56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5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68</v>
      </c>
      <c r="H8" s="41" t="s">
        <v>28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SUM(D19:D31)</f>
        <v>-151027.54</v>
      </c>
      <c r="E16" s="16">
        <f t="shared" si="0"/>
        <v>-279000</v>
      </c>
      <c r="F16" s="16">
        <f t="shared" si="0"/>
        <v>-279000</v>
      </c>
      <c r="G16" s="17">
        <f t="shared" si="0"/>
        <v>-279000</v>
      </c>
      <c r="H16" s="10">
        <f t="shared" si="0"/>
        <v>170355.01</v>
      </c>
      <c r="I16" s="16">
        <f t="shared" si="0"/>
        <v>279000</v>
      </c>
      <c r="J16" s="16">
        <f t="shared" si="0"/>
        <v>279000</v>
      </c>
      <c r="K16" s="17">
        <f t="shared" si="0"/>
        <v>279000</v>
      </c>
      <c r="L16" s="10">
        <f t="shared" ref="L16:O16" si="1">D16+H16</f>
        <v>19327.47</v>
      </c>
      <c r="M16" s="10">
        <f t="shared" si="1"/>
        <v>0</v>
      </c>
      <c r="N16" s="10">
        <f t="shared" si="1"/>
        <v>0</v>
      </c>
      <c r="O16" s="17">
        <f t="shared" si="1"/>
        <v>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B19" s="33">
        <v>50001</v>
      </c>
      <c r="C19" s="33" t="s">
        <v>71</v>
      </c>
      <c r="D19" s="18">
        <f>0*(1)</f>
        <v>0</v>
      </c>
      <c r="E19" s="25">
        <f t="shared" ref="E19:F19" si="2">20000*(-1)</f>
        <v>-20000</v>
      </c>
      <c r="F19" s="25">
        <f t="shared" si="2"/>
        <v>-20000</v>
      </c>
      <c r="G19" s="49">
        <f t="shared" ref="G19:G31" si="3">IF(0=0,F19,0)</f>
        <v>-20000</v>
      </c>
      <c r="H19" s="18">
        <f>0*1</f>
        <v>0</v>
      </c>
      <c r="I19" s="25">
        <f t="shared" ref="I19:J19" si="4">20000*1</f>
        <v>20000</v>
      </c>
      <c r="J19" s="25">
        <f t="shared" si="4"/>
        <v>20000</v>
      </c>
      <c r="K19" s="49">
        <f t="shared" ref="K19:K31" si="5">IF(0=0,J19,0)</f>
        <v>20000</v>
      </c>
      <c r="L19" s="18">
        <f t="shared" ref="L19:O31" si="6">D19+H19</f>
        <v>0</v>
      </c>
      <c r="M19" s="18">
        <f t="shared" si="6"/>
        <v>0</v>
      </c>
      <c r="N19" s="18">
        <f t="shared" si="6"/>
        <v>0</v>
      </c>
      <c r="O19" s="42">
        <f t="shared" si="6"/>
        <v>0</v>
      </c>
      <c r="P19" s="60"/>
    </row>
    <row r="20" spans="1:16" x14ac:dyDescent="0.3">
      <c r="B20" s="33">
        <v>50002</v>
      </c>
      <c r="C20" s="33" t="s">
        <v>73</v>
      </c>
      <c r="D20" s="18">
        <f>-30950*(1)</f>
        <v>-30950</v>
      </c>
      <c r="E20" s="25">
        <f t="shared" ref="E20:F20" si="7">30000*(-1)</f>
        <v>-30000</v>
      </c>
      <c r="F20" s="25">
        <f t="shared" si="7"/>
        <v>-30000</v>
      </c>
      <c r="G20" s="49">
        <f t="shared" si="3"/>
        <v>-30000</v>
      </c>
      <c r="H20" s="18">
        <f>21313.5*1</f>
        <v>21313.5</v>
      </c>
      <c r="I20" s="25">
        <f t="shared" ref="I20:J20" si="8">35000*1</f>
        <v>35000</v>
      </c>
      <c r="J20" s="25">
        <f t="shared" si="8"/>
        <v>35000</v>
      </c>
      <c r="K20" s="49">
        <f t="shared" si="5"/>
        <v>35000</v>
      </c>
      <c r="L20" s="18">
        <f t="shared" si="6"/>
        <v>-9636.5</v>
      </c>
      <c r="M20" s="18">
        <f t="shared" si="6"/>
        <v>5000</v>
      </c>
      <c r="N20" s="18">
        <f t="shared" si="6"/>
        <v>5000</v>
      </c>
      <c r="O20" s="42">
        <f t="shared" si="6"/>
        <v>5000</v>
      </c>
      <c r="P20" s="60"/>
    </row>
    <row r="21" spans="1:16" x14ac:dyDescent="0.3">
      <c r="B21" s="33">
        <v>50003</v>
      </c>
      <c r="C21" s="33" t="s">
        <v>69</v>
      </c>
      <c r="D21" s="18">
        <f>-36275*(1)</f>
        <v>-36275</v>
      </c>
      <c r="E21" s="25">
        <f t="shared" ref="E21:F21" si="9">12000*(-1)</f>
        <v>-12000</v>
      </c>
      <c r="F21" s="25">
        <f t="shared" si="9"/>
        <v>-12000</v>
      </c>
      <c r="G21" s="49">
        <f t="shared" si="3"/>
        <v>-12000</v>
      </c>
      <c r="H21" s="18">
        <f>37200*1</f>
        <v>37200</v>
      </c>
      <c r="I21" s="25">
        <f t="shared" ref="I21:J21" si="10">12000*1</f>
        <v>12000</v>
      </c>
      <c r="J21" s="25">
        <f t="shared" si="10"/>
        <v>12000</v>
      </c>
      <c r="K21" s="49">
        <f t="shared" si="5"/>
        <v>12000</v>
      </c>
      <c r="L21" s="18">
        <f t="shared" si="6"/>
        <v>925</v>
      </c>
      <c r="M21" s="18">
        <f t="shared" si="6"/>
        <v>0</v>
      </c>
      <c r="N21" s="18">
        <f t="shared" si="6"/>
        <v>0</v>
      </c>
      <c r="O21" s="42">
        <f t="shared" si="6"/>
        <v>0</v>
      </c>
      <c r="P21" s="60"/>
    </row>
    <row r="22" spans="1:16" x14ac:dyDescent="0.3">
      <c r="B22" s="33">
        <v>50100</v>
      </c>
      <c r="C22" s="33" t="s">
        <v>27</v>
      </c>
      <c r="D22" s="18">
        <f>-38537.63*(1)</f>
        <v>-38537.629999999997</v>
      </c>
      <c r="E22" s="25">
        <f t="shared" ref="E22:F22" si="11">110000*(-1)</f>
        <v>-110000</v>
      </c>
      <c r="F22" s="25">
        <f t="shared" si="11"/>
        <v>-110000</v>
      </c>
      <c r="G22" s="49">
        <f t="shared" si="3"/>
        <v>-110000</v>
      </c>
      <c r="H22" s="18">
        <f>11126*1</f>
        <v>11126</v>
      </c>
      <c r="I22" s="25">
        <f t="shared" ref="I22:J22" si="12">60000*1</f>
        <v>60000</v>
      </c>
      <c r="J22" s="25">
        <f t="shared" si="12"/>
        <v>60000</v>
      </c>
      <c r="K22" s="49">
        <f t="shared" si="5"/>
        <v>60000</v>
      </c>
      <c r="L22" s="18">
        <f t="shared" si="6"/>
        <v>-27411.629999999997</v>
      </c>
      <c r="M22" s="18">
        <f t="shared" si="6"/>
        <v>-50000</v>
      </c>
      <c r="N22" s="18">
        <f t="shared" si="6"/>
        <v>-50000</v>
      </c>
      <c r="O22" s="42">
        <f t="shared" si="6"/>
        <v>-50000</v>
      </c>
      <c r="P22" s="60"/>
    </row>
    <row r="23" spans="1:16" x14ac:dyDescent="0.3">
      <c r="B23" s="33">
        <v>50230</v>
      </c>
      <c r="C23" s="33" t="s">
        <v>17</v>
      </c>
      <c r="D23" s="18">
        <f t="shared" ref="D23:D26" si="13">0*(1)</f>
        <v>0</v>
      </c>
      <c r="E23" s="25">
        <f t="shared" ref="E23:F24" si="14">0*(-1)</f>
        <v>0</v>
      </c>
      <c r="F23" s="25">
        <f t="shared" si="14"/>
        <v>0</v>
      </c>
      <c r="G23" s="49">
        <f t="shared" si="3"/>
        <v>0</v>
      </c>
      <c r="H23" s="18">
        <f>540*1</f>
        <v>540</v>
      </c>
      <c r="I23" s="25">
        <f t="shared" ref="I23:J24" si="15">1000*1</f>
        <v>1000</v>
      </c>
      <c r="J23" s="25">
        <f t="shared" si="15"/>
        <v>1000</v>
      </c>
      <c r="K23" s="49">
        <f t="shared" si="5"/>
        <v>1000</v>
      </c>
      <c r="L23" s="18">
        <f t="shared" si="6"/>
        <v>540</v>
      </c>
      <c r="M23" s="18">
        <f t="shared" si="6"/>
        <v>1000</v>
      </c>
      <c r="N23" s="18">
        <f t="shared" si="6"/>
        <v>1000</v>
      </c>
      <c r="O23" s="42">
        <f t="shared" si="6"/>
        <v>1000</v>
      </c>
      <c r="P23" s="60"/>
    </row>
    <row r="24" spans="1:16" x14ac:dyDescent="0.3">
      <c r="B24" s="33">
        <v>50240</v>
      </c>
      <c r="C24" s="33" t="s">
        <v>84</v>
      </c>
      <c r="D24" s="18">
        <f t="shared" si="13"/>
        <v>0</v>
      </c>
      <c r="E24" s="25">
        <f t="shared" si="14"/>
        <v>0</v>
      </c>
      <c r="F24" s="25">
        <f t="shared" si="14"/>
        <v>0</v>
      </c>
      <c r="G24" s="49">
        <f t="shared" si="3"/>
        <v>0</v>
      </c>
      <c r="H24" s="18">
        <f>0*1</f>
        <v>0</v>
      </c>
      <c r="I24" s="25">
        <f t="shared" si="15"/>
        <v>1000</v>
      </c>
      <c r="J24" s="25">
        <f t="shared" si="15"/>
        <v>1000</v>
      </c>
      <c r="K24" s="49">
        <f t="shared" si="5"/>
        <v>1000</v>
      </c>
      <c r="L24" s="18">
        <f t="shared" si="6"/>
        <v>0</v>
      </c>
      <c r="M24" s="18">
        <f t="shared" si="6"/>
        <v>1000</v>
      </c>
      <c r="N24" s="18">
        <f t="shared" si="6"/>
        <v>1000</v>
      </c>
      <c r="O24" s="42">
        <f t="shared" si="6"/>
        <v>1000</v>
      </c>
      <c r="P24" s="60"/>
    </row>
    <row r="25" spans="1:16" x14ac:dyDescent="0.3">
      <c r="B25" s="33">
        <v>50300</v>
      </c>
      <c r="C25" s="33" t="s">
        <v>32</v>
      </c>
      <c r="D25" s="18">
        <f t="shared" si="13"/>
        <v>0</v>
      </c>
      <c r="E25" s="25">
        <f t="shared" ref="E25:F25" si="16">10000*(-1)</f>
        <v>-10000</v>
      </c>
      <c r="F25" s="25">
        <f t="shared" si="16"/>
        <v>-10000</v>
      </c>
      <c r="G25" s="49">
        <f t="shared" si="3"/>
        <v>-10000</v>
      </c>
      <c r="H25" s="18">
        <f>620*1</f>
        <v>620</v>
      </c>
      <c r="I25" s="25">
        <f t="shared" ref="I25:J25" si="17">15000*1</f>
        <v>15000</v>
      </c>
      <c r="J25" s="25">
        <f t="shared" si="17"/>
        <v>15000</v>
      </c>
      <c r="K25" s="49">
        <f t="shared" si="5"/>
        <v>15000</v>
      </c>
      <c r="L25" s="18">
        <f t="shared" si="6"/>
        <v>620</v>
      </c>
      <c r="M25" s="18">
        <f t="shared" si="6"/>
        <v>5000</v>
      </c>
      <c r="N25" s="18">
        <f t="shared" si="6"/>
        <v>5000</v>
      </c>
      <c r="O25" s="42">
        <f t="shared" si="6"/>
        <v>5000</v>
      </c>
      <c r="P25" s="60"/>
    </row>
    <row r="26" spans="1:16" x14ac:dyDescent="0.3">
      <c r="B26" s="33">
        <v>50310</v>
      </c>
      <c r="C26" s="33" t="s">
        <v>55</v>
      </c>
      <c r="D26" s="18">
        <f t="shared" si="13"/>
        <v>0</v>
      </c>
      <c r="E26" s="25">
        <f t="shared" ref="E26:F26" si="18">20000*(-1)</f>
        <v>-20000</v>
      </c>
      <c r="F26" s="25">
        <f t="shared" si="18"/>
        <v>-20000</v>
      </c>
      <c r="G26" s="49">
        <f t="shared" si="3"/>
        <v>-20000</v>
      </c>
      <c r="H26" s="18">
        <f>0*1</f>
        <v>0</v>
      </c>
      <c r="I26" s="25">
        <f t="shared" ref="I26:J26" si="19">28000*1</f>
        <v>28000</v>
      </c>
      <c r="J26" s="25">
        <f t="shared" si="19"/>
        <v>28000</v>
      </c>
      <c r="K26" s="49">
        <f t="shared" si="5"/>
        <v>28000</v>
      </c>
      <c r="L26" s="18">
        <f t="shared" si="6"/>
        <v>0</v>
      </c>
      <c r="M26" s="18">
        <f t="shared" si="6"/>
        <v>8000</v>
      </c>
      <c r="N26" s="18">
        <f t="shared" si="6"/>
        <v>8000</v>
      </c>
      <c r="O26" s="42">
        <f t="shared" si="6"/>
        <v>8000</v>
      </c>
      <c r="P26" s="60"/>
    </row>
    <row r="27" spans="1:16" x14ac:dyDescent="0.3">
      <c r="B27" s="33">
        <v>50410</v>
      </c>
      <c r="C27" s="33" t="s">
        <v>18</v>
      </c>
      <c r="D27" s="18">
        <f>-40264.91*(1)</f>
        <v>-40264.910000000003</v>
      </c>
      <c r="E27" s="25">
        <f t="shared" ref="E27:F27" si="20">0*(-1)</f>
        <v>0</v>
      </c>
      <c r="F27" s="25">
        <f t="shared" si="20"/>
        <v>0</v>
      </c>
      <c r="G27" s="49">
        <f t="shared" si="3"/>
        <v>0</v>
      </c>
      <c r="H27" s="18">
        <f>93455.51*1</f>
        <v>93455.51</v>
      </c>
      <c r="I27" s="25">
        <f t="shared" ref="I27:J27" si="21">20000*1</f>
        <v>20000</v>
      </c>
      <c r="J27" s="25">
        <f t="shared" si="21"/>
        <v>20000</v>
      </c>
      <c r="K27" s="49">
        <f t="shared" si="5"/>
        <v>20000</v>
      </c>
      <c r="L27" s="18">
        <f t="shared" si="6"/>
        <v>53190.599999999991</v>
      </c>
      <c r="M27" s="18">
        <f t="shared" si="6"/>
        <v>20000</v>
      </c>
      <c r="N27" s="18">
        <f t="shared" si="6"/>
        <v>20000</v>
      </c>
      <c r="O27" s="42">
        <f t="shared" si="6"/>
        <v>20000</v>
      </c>
      <c r="P27" s="60"/>
    </row>
    <row r="28" spans="1:16" x14ac:dyDescent="0.3">
      <c r="B28" s="33">
        <v>50411</v>
      </c>
      <c r="C28" s="33" t="s">
        <v>5</v>
      </c>
      <c r="D28" s="18">
        <f t="shared" ref="D28:D30" si="22">0*(1)</f>
        <v>0</v>
      </c>
      <c r="E28" s="25">
        <f t="shared" ref="E28:F28" si="23">40000*(-1)</f>
        <v>-40000</v>
      </c>
      <c r="F28" s="25">
        <f t="shared" si="23"/>
        <v>-40000</v>
      </c>
      <c r="G28" s="49">
        <f t="shared" si="3"/>
        <v>-40000</v>
      </c>
      <c r="H28" s="18">
        <f t="shared" ref="H28:H30" si="24">0*1</f>
        <v>0</v>
      </c>
      <c r="I28" s="25">
        <f t="shared" ref="I28:J28" si="25">40000*1</f>
        <v>40000</v>
      </c>
      <c r="J28" s="25">
        <f t="shared" si="25"/>
        <v>40000</v>
      </c>
      <c r="K28" s="49">
        <f t="shared" si="5"/>
        <v>40000</v>
      </c>
      <c r="L28" s="18">
        <f t="shared" si="6"/>
        <v>0</v>
      </c>
      <c r="M28" s="18">
        <f t="shared" si="6"/>
        <v>0</v>
      </c>
      <c r="N28" s="18">
        <f t="shared" si="6"/>
        <v>0</v>
      </c>
      <c r="O28" s="42">
        <f t="shared" si="6"/>
        <v>0</v>
      </c>
      <c r="P28" s="60"/>
    </row>
    <row r="29" spans="1:16" x14ac:dyDescent="0.3">
      <c r="B29" s="33">
        <v>50421</v>
      </c>
      <c r="C29" s="33" t="s">
        <v>62</v>
      </c>
      <c r="D29" s="18">
        <f t="shared" si="22"/>
        <v>0</v>
      </c>
      <c r="E29" s="25">
        <f t="shared" ref="E29:F29" si="26">30000*(-1)</f>
        <v>-30000</v>
      </c>
      <c r="F29" s="25">
        <f t="shared" si="26"/>
        <v>-30000</v>
      </c>
      <c r="G29" s="49">
        <f t="shared" si="3"/>
        <v>-30000</v>
      </c>
      <c r="H29" s="18">
        <f t="shared" si="24"/>
        <v>0</v>
      </c>
      <c r="I29" s="25">
        <f t="shared" ref="I29:J29" si="27">30000*1</f>
        <v>30000</v>
      </c>
      <c r="J29" s="25">
        <f t="shared" si="27"/>
        <v>30000</v>
      </c>
      <c r="K29" s="49">
        <f t="shared" si="5"/>
        <v>30000</v>
      </c>
      <c r="L29" s="18">
        <f t="shared" si="6"/>
        <v>0</v>
      </c>
      <c r="M29" s="18">
        <f t="shared" si="6"/>
        <v>0</v>
      </c>
      <c r="N29" s="18">
        <f t="shared" si="6"/>
        <v>0</v>
      </c>
      <c r="O29" s="42">
        <f t="shared" si="6"/>
        <v>0</v>
      </c>
      <c r="P29" s="60"/>
    </row>
    <row r="30" spans="1:16" x14ac:dyDescent="0.3">
      <c r="B30" s="33">
        <v>50430</v>
      </c>
      <c r="C30" s="33" t="s">
        <v>6</v>
      </c>
      <c r="D30" s="18">
        <f t="shared" si="22"/>
        <v>0</v>
      </c>
      <c r="E30" s="25">
        <f t="shared" ref="E30:F30" si="28">2000*(-1)</f>
        <v>-2000</v>
      </c>
      <c r="F30" s="25">
        <f t="shared" si="28"/>
        <v>-2000</v>
      </c>
      <c r="G30" s="49">
        <f t="shared" si="3"/>
        <v>-2000</v>
      </c>
      <c r="H30" s="18">
        <f t="shared" si="24"/>
        <v>0</v>
      </c>
      <c r="I30" s="25">
        <f t="shared" ref="I30:J30" si="29">5000*1</f>
        <v>5000</v>
      </c>
      <c r="J30" s="25">
        <f t="shared" si="29"/>
        <v>5000</v>
      </c>
      <c r="K30" s="49">
        <f t="shared" si="5"/>
        <v>5000</v>
      </c>
      <c r="L30" s="18">
        <f t="shared" si="6"/>
        <v>0</v>
      </c>
      <c r="M30" s="18">
        <f t="shared" si="6"/>
        <v>3000</v>
      </c>
      <c r="N30" s="18">
        <f t="shared" si="6"/>
        <v>3000</v>
      </c>
      <c r="O30" s="42">
        <f t="shared" si="6"/>
        <v>3000</v>
      </c>
      <c r="P30" s="60"/>
    </row>
    <row r="31" spans="1:16" x14ac:dyDescent="0.3">
      <c r="B31" s="33">
        <v>50600</v>
      </c>
      <c r="C31" s="33" t="s">
        <v>85</v>
      </c>
      <c r="D31" s="18">
        <f>-5000*(1)</f>
        <v>-5000</v>
      </c>
      <c r="E31" s="25">
        <f t="shared" ref="E31:F31" si="30">5000*(-1)</f>
        <v>-5000</v>
      </c>
      <c r="F31" s="25">
        <f t="shared" si="30"/>
        <v>-5000</v>
      </c>
      <c r="G31" s="49">
        <f t="shared" si="3"/>
        <v>-5000</v>
      </c>
      <c r="H31" s="18">
        <f>6100*1</f>
        <v>6100</v>
      </c>
      <c r="I31" s="25">
        <f t="shared" ref="I31:J31" si="31">12000*1</f>
        <v>12000</v>
      </c>
      <c r="J31" s="25">
        <f t="shared" si="31"/>
        <v>12000</v>
      </c>
      <c r="K31" s="49">
        <f t="shared" si="5"/>
        <v>12000</v>
      </c>
      <c r="L31" s="18">
        <f t="shared" si="6"/>
        <v>1100</v>
      </c>
      <c r="M31" s="18">
        <f t="shared" si="6"/>
        <v>7000</v>
      </c>
      <c r="N31" s="18">
        <f t="shared" si="6"/>
        <v>7000</v>
      </c>
      <c r="O31" s="42">
        <f t="shared" si="6"/>
        <v>7000</v>
      </c>
      <c r="P31" s="60"/>
    </row>
    <row r="32" spans="1:16" x14ac:dyDescent="0.3">
      <c r="A32" s="50"/>
      <c r="B32" s="33"/>
      <c r="C32" s="33"/>
      <c r="D32" s="23"/>
      <c r="E32" s="6"/>
      <c r="F32" s="6"/>
      <c r="G32" s="13"/>
      <c r="H32" s="23"/>
      <c r="I32" s="6"/>
      <c r="J32" s="6"/>
      <c r="K32" s="13"/>
      <c r="L32" s="23"/>
      <c r="M32" s="6"/>
      <c r="N32" s="6"/>
      <c r="O32" s="13"/>
      <c r="P32" s="13"/>
    </row>
    <row r="33" spans="1:16" x14ac:dyDescent="0.3">
      <c r="A33" s="50"/>
      <c r="B33" s="38"/>
      <c r="C33" s="38"/>
      <c r="D33" s="24"/>
      <c r="E33" s="5"/>
      <c r="F33" s="5"/>
      <c r="G33" s="12"/>
      <c r="H33" s="24"/>
      <c r="I33" s="5"/>
      <c r="J33" s="5"/>
      <c r="K33" s="12"/>
      <c r="L33" s="24"/>
      <c r="M33" s="5"/>
      <c r="N33" s="5"/>
      <c r="O33" s="12"/>
      <c r="P33" s="12"/>
    </row>
    <row r="34" spans="1:16" ht="15" thickBot="1" x14ac:dyDescent="0.35">
      <c r="A34" s="52"/>
      <c r="B34" s="31"/>
      <c r="C34" s="31" t="s">
        <v>9</v>
      </c>
      <c r="D34" s="39">
        <f t="shared" ref="D34:K34" si="32">SUM(D19:D31)</f>
        <v>-151027.54</v>
      </c>
      <c r="E34" s="28">
        <f t="shared" si="32"/>
        <v>-279000</v>
      </c>
      <c r="F34" s="28">
        <f t="shared" si="32"/>
        <v>-279000</v>
      </c>
      <c r="G34" s="27">
        <f t="shared" si="32"/>
        <v>-279000</v>
      </c>
      <c r="H34" s="39">
        <f t="shared" si="32"/>
        <v>170355.01</v>
      </c>
      <c r="I34" s="28">
        <f t="shared" si="32"/>
        <v>279000</v>
      </c>
      <c r="J34" s="40">
        <f t="shared" si="32"/>
        <v>279000</v>
      </c>
      <c r="K34" s="27">
        <f t="shared" si="32"/>
        <v>279000</v>
      </c>
      <c r="L34" s="26">
        <f t="shared" ref="L34:O34" si="33">D34+H34</f>
        <v>19327.47</v>
      </c>
      <c r="M34" s="26">
        <f t="shared" si="33"/>
        <v>0</v>
      </c>
      <c r="N34" s="26">
        <f t="shared" si="33"/>
        <v>0</v>
      </c>
      <c r="O34" s="27">
        <f t="shared" si="33"/>
        <v>0</v>
      </c>
      <c r="P34" s="56"/>
    </row>
    <row r="35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2"/>
  <sheetViews>
    <sheetView topLeftCell="B1" workbookViewId="0">
      <selection activeCell="O10" sqref="O10"/>
    </sheetView>
  </sheetViews>
  <sheetFormatPr baseColWidth="10" defaultColWidth="9.109375" defaultRowHeight="14.4" x14ac:dyDescent="0.3"/>
  <cols>
    <col min="1" max="1" width="5.33203125" customWidth="1"/>
    <col min="2" max="2" width="13.33203125" customWidth="1"/>
    <col min="3" max="3" width="23.33203125" customWidth="1"/>
    <col min="4" max="15" width="13.33203125" customWidth="1"/>
    <col min="16" max="16" width="30.33203125" customWidth="1"/>
  </cols>
  <sheetData>
    <row r="1" spans="2:16" ht="1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1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.5" customHeight="1" x14ac:dyDescent="0.3">
      <c r="B3" s="1"/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3">
      <c r="B4" s="1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3">
      <c r="B5" s="1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 ht="21" x14ac:dyDescent="0.4">
      <c r="B6" s="1"/>
      <c r="C6" s="45"/>
      <c r="D6" s="53" t="s">
        <v>20</v>
      </c>
      <c r="E6" s="48">
        <v>2021</v>
      </c>
      <c r="F6" s="8" t="s">
        <v>41</v>
      </c>
      <c r="H6" s="8"/>
      <c r="I6" s="8"/>
      <c r="J6" s="8"/>
      <c r="K6" s="8"/>
      <c r="L6" s="8"/>
      <c r="M6" s="1"/>
      <c r="N6" s="1"/>
      <c r="O6" s="1"/>
    </row>
    <row r="7" spans="2:16" ht="21" x14ac:dyDescent="0.4">
      <c r="B7" s="1"/>
      <c r="C7" s="51"/>
      <c r="D7" s="53" t="s">
        <v>35</v>
      </c>
      <c r="E7" s="48" t="str">
        <f>RIGHT("202112",2)</f>
        <v>12</v>
      </c>
      <c r="F7" s="1"/>
      <c r="G7" s="11"/>
      <c r="H7" s="11"/>
      <c r="I7" s="1"/>
      <c r="J7" s="1"/>
      <c r="K7" s="1"/>
      <c r="L7" s="1"/>
      <c r="M7" s="1"/>
      <c r="N7" s="1"/>
      <c r="O7" s="1"/>
    </row>
    <row r="8" spans="2:16" ht="22.8" x14ac:dyDescent="0.4">
      <c r="B8" s="1"/>
      <c r="C8" s="1"/>
      <c r="D8" s="4"/>
      <c r="E8" s="1"/>
      <c r="F8" s="29"/>
      <c r="G8" s="58" t="s">
        <v>7</v>
      </c>
      <c r="H8" s="41" t="s">
        <v>45</v>
      </c>
      <c r="I8" s="4"/>
      <c r="J8" s="4"/>
      <c r="K8" s="4"/>
      <c r="L8" s="4"/>
      <c r="M8" s="4"/>
      <c r="N8" s="4"/>
      <c r="O8" s="1"/>
    </row>
    <row r="9" spans="2:16" ht="15.6" x14ac:dyDescent="0.3">
      <c r="B9" s="1"/>
      <c r="C9" s="1"/>
      <c r="D9" s="4"/>
      <c r="E9" s="11"/>
      <c r="F9" s="29"/>
      <c r="G9" s="29"/>
      <c r="H9" s="11"/>
      <c r="I9" s="4"/>
      <c r="J9" s="4"/>
      <c r="K9" s="4"/>
      <c r="L9" s="4"/>
      <c r="M9" s="4"/>
      <c r="N9" s="4"/>
      <c r="O9" s="1"/>
    </row>
    <row r="10" spans="2:16" ht="15" customHeight="1" x14ac:dyDescent="0.4">
      <c r="B10" s="1"/>
      <c r="C10" s="20"/>
      <c r="D10" s="20"/>
      <c r="E10" s="20"/>
      <c r="F10" s="1"/>
      <c r="I10" s="4"/>
      <c r="J10" s="4"/>
      <c r="K10" s="4"/>
      <c r="L10" s="4"/>
      <c r="M10" s="4"/>
      <c r="N10" s="4"/>
      <c r="O10" s="1"/>
    </row>
    <row r="11" spans="2:16" ht="22.8" x14ac:dyDescent="0.4">
      <c r="B11" s="1"/>
      <c r="C11" s="2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43"/>
    </row>
    <row r="12" spans="2:16" ht="17.399999999999999" x14ac:dyDescent="0.3">
      <c r="B12" s="55"/>
      <c r="C12" s="44"/>
      <c r="D12" s="73" t="s">
        <v>0</v>
      </c>
      <c r="E12" s="74"/>
      <c r="F12" s="74"/>
      <c r="G12" s="75"/>
      <c r="H12" s="73" t="s">
        <v>76</v>
      </c>
      <c r="I12" s="74"/>
      <c r="J12" s="74"/>
      <c r="K12" s="75"/>
      <c r="L12" s="73" t="s">
        <v>1</v>
      </c>
      <c r="M12" s="74"/>
      <c r="N12" s="74"/>
      <c r="O12" s="75"/>
      <c r="P12" s="57"/>
    </row>
    <row r="13" spans="2:16" x14ac:dyDescent="0.3">
      <c r="B13" s="47"/>
      <c r="C13" s="46"/>
      <c r="D13" s="76" t="s">
        <v>79</v>
      </c>
      <c r="E13" s="77"/>
      <c r="F13" s="32" t="s">
        <v>14</v>
      </c>
      <c r="G13" s="9"/>
      <c r="H13" s="76" t="s">
        <v>79</v>
      </c>
      <c r="I13" s="77"/>
      <c r="J13" s="32" t="s">
        <v>14</v>
      </c>
      <c r="K13" s="9"/>
      <c r="L13" s="76" t="s">
        <v>79</v>
      </c>
      <c r="M13" s="77"/>
      <c r="N13" s="46"/>
      <c r="O13" s="9"/>
      <c r="P13" s="9"/>
    </row>
    <row r="14" spans="2:16" x14ac:dyDescent="0.3">
      <c r="B14" s="47"/>
      <c r="C14" s="9"/>
      <c r="D14" s="2" t="s">
        <v>58</v>
      </c>
      <c r="E14" s="2" t="s">
        <v>51</v>
      </c>
      <c r="F14" s="2" t="s">
        <v>21</v>
      </c>
      <c r="G14" s="2" t="s">
        <v>24</v>
      </c>
      <c r="H14" s="2" t="s">
        <v>58</v>
      </c>
      <c r="I14" s="2" t="s">
        <v>51</v>
      </c>
      <c r="J14" s="2" t="s">
        <v>21</v>
      </c>
      <c r="K14" s="2" t="s">
        <v>24</v>
      </c>
      <c r="L14" s="2" t="s">
        <v>58</v>
      </c>
      <c r="M14" s="2" t="s">
        <v>51</v>
      </c>
      <c r="N14" s="2" t="s">
        <v>21</v>
      </c>
      <c r="O14" s="2" t="s">
        <v>24</v>
      </c>
      <c r="P14" s="2"/>
    </row>
    <row r="15" spans="2:16" x14ac:dyDescent="0.3">
      <c r="B15" s="1"/>
      <c r="C15" s="54"/>
      <c r="D15" s="1"/>
      <c r="E15" s="1"/>
      <c r="F15" s="1"/>
      <c r="G15" s="15"/>
      <c r="H15" s="1"/>
      <c r="I15" s="1"/>
      <c r="J15" s="1"/>
      <c r="K15" s="15"/>
      <c r="L15" s="1"/>
      <c r="M15" s="1"/>
      <c r="N15" s="1"/>
      <c r="O15" s="15"/>
      <c r="P15" s="15"/>
    </row>
    <row r="16" spans="2:16" x14ac:dyDescent="0.3">
      <c r="B16" s="37"/>
      <c r="C16" s="37" t="s">
        <v>9</v>
      </c>
      <c r="D16" s="10">
        <f t="shared" ref="D16:K16" si="0">SUM(0)</f>
        <v>0</v>
      </c>
      <c r="E16" s="16">
        <f t="shared" si="0"/>
        <v>0</v>
      </c>
      <c r="F16" s="16">
        <f t="shared" si="0"/>
        <v>0</v>
      </c>
      <c r="G16" s="17">
        <f t="shared" si="0"/>
        <v>0</v>
      </c>
      <c r="H16" s="10">
        <f t="shared" si="0"/>
        <v>0</v>
      </c>
      <c r="I16" s="16">
        <f t="shared" si="0"/>
        <v>0</v>
      </c>
      <c r="J16" s="16">
        <f t="shared" si="0"/>
        <v>0</v>
      </c>
      <c r="K16" s="17">
        <f t="shared" si="0"/>
        <v>0</v>
      </c>
      <c r="L16" s="10">
        <f t="shared" ref="L16:O16" si="1">D16+H16</f>
        <v>0</v>
      </c>
      <c r="M16" s="10">
        <f t="shared" si="1"/>
        <v>0</v>
      </c>
      <c r="N16" s="10">
        <f t="shared" si="1"/>
        <v>0</v>
      </c>
      <c r="O16" s="17">
        <f t="shared" si="1"/>
        <v>0</v>
      </c>
      <c r="P16" s="17"/>
    </row>
    <row r="17" spans="1:16" x14ac:dyDescent="0.3">
      <c r="A17" s="1"/>
      <c r="B17" s="35"/>
      <c r="C17" s="35"/>
      <c r="D17" s="22"/>
      <c r="E17" s="7"/>
      <c r="F17" s="7"/>
      <c r="G17" s="14"/>
      <c r="H17" s="22"/>
      <c r="I17" s="7"/>
      <c r="J17" s="7"/>
      <c r="K17" s="14"/>
      <c r="L17" s="22"/>
      <c r="M17" s="7"/>
      <c r="N17" s="7"/>
      <c r="O17" s="14"/>
      <c r="P17" s="14"/>
    </row>
    <row r="18" spans="1:16" x14ac:dyDescent="0.3">
      <c r="A18" s="1"/>
      <c r="B18" s="34" t="s">
        <v>3</v>
      </c>
      <c r="C18" s="34" t="s">
        <v>31</v>
      </c>
      <c r="D18" s="36"/>
      <c r="E18" s="19"/>
      <c r="F18" s="19"/>
      <c r="G18" s="21"/>
      <c r="H18" s="36"/>
      <c r="I18" s="19"/>
      <c r="J18" s="19"/>
      <c r="K18" s="21"/>
      <c r="L18" s="36"/>
      <c r="M18" s="19"/>
      <c r="N18" s="19"/>
      <c r="O18" s="21"/>
      <c r="P18" s="21"/>
    </row>
    <row r="19" spans="1:16" x14ac:dyDescent="0.3">
      <c r="A19" s="50"/>
      <c r="B19" s="33"/>
      <c r="C19" s="33"/>
      <c r="D19" s="23"/>
      <c r="E19" s="6"/>
      <c r="F19" s="6"/>
      <c r="G19" s="13"/>
      <c r="H19" s="23"/>
      <c r="I19" s="6"/>
      <c r="J19" s="6"/>
      <c r="K19" s="13"/>
      <c r="L19" s="23"/>
      <c r="M19" s="6"/>
      <c r="N19" s="6"/>
      <c r="O19" s="13"/>
      <c r="P19" s="13"/>
    </row>
    <row r="20" spans="1:16" x14ac:dyDescent="0.3">
      <c r="A20" s="50"/>
      <c r="B20" s="38"/>
      <c r="C20" s="38"/>
      <c r="D20" s="24"/>
      <c r="E20" s="5"/>
      <c r="F20" s="5"/>
      <c r="G20" s="12"/>
      <c r="H20" s="24"/>
      <c r="I20" s="5"/>
      <c r="J20" s="5"/>
      <c r="K20" s="12"/>
      <c r="L20" s="24"/>
      <c r="M20" s="5"/>
      <c r="N20" s="5"/>
      <c r="O20" s="12"/>
      <c r="P20" s="12"/>
    </row>
    <row r="21" spans="1:16" ht="15" thickBot="1" x14ac:dyDescent="0.35">
      <c r="A21" s="52"/>
      <c r="B21" s="31"/>
      <c r="C21" s="31" t="s">
        <v>9</v>
      </c>
      <c r="D21" s="39">
        <f t="shared" ref="D21:K21" si="2">SUM(0)</f>
        <v>0</v>
      </c>
      <c r="E21" s="28">
        <f t="shared" si="2"/>
        <v>0</v>
      </c>
      <c r="F21" s="28">
        <f t="shared" si="2"/>
        <v>0</v>
      </c>
      <c r="G21" s="27">
        <f t="shared" si="2"/>
        <v>0</v>
      </c>
      <c r="H21" s="39">
        <f t="shared" si="2"/>
        <v>0</v>
      </c>
      <c r="I21" s="28">
        <f t="shared" si="2"/>
        <v>0</v>
      </c>
      <c r="J21" s="40">
        <f t="shared" si="2"/>
        <v>0</v>
      </c>
      <c r="K21" s="27">
        <f t="shared" si="2"/>
        <v>0</v>
      </c>
      <c r="L21" s="26">
        <f t="shared" ref="L21:O21" si="3">D21+H21</f>
        <v>0</v>
      </c>
      <c r="M21" s="26">
        <f t="shared" si="3"/>
        <v>0</v>
      </c>
      <c r="N21" s="26">
        <f t="shared" si="3"/>
        <v>0</v>
      </c>
      <c r="O21" s="27">
        <f t="shared" si="3"/>
        <v>0</v>
      </c>
      <c r="P21" s="56"/>
    </row>
    <row r="22" spans="1:16" ht="15" thickTop="1" x14ac:dyDescent="0.3"/>
  </sheetData>
  <mergeCells count="6">
    <mergeCell ref="D12:G12"/>
    <mergeCell ref="H12:K12"/>
    <mergeCell ref="L12:O12"/>
    <mergeCell ref="D13:E13"/>
    <mergeCell ref="H13:I13"/>
    <mergeCell ref="L13:M13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11728A90861248B04C4328C2192325" ma:contentTypeVersion="16" ma:contentTypeDescription="Opprett et nytt dokument." ma:contentTypeScope="" ma:versionID="972c8e897ad0b3f87073d650aa5eecea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58f7b324-db6b-4959-835f-55eb385b6592" targetNamespace="http://schemas.microsoft.com/office/2006/metadata/properties" ma:root="true" ma:fieldsID="3ed6dfd1bd81c745bab67ddac7bfc745" ns2:_="" ns4:_="" ns5:_="">
    <xsd:import namespace="ea08695c-71a6-424d-b494-0382f1cd8949"/>
    <xsd:import namespace="712f3002-266e-4d4e-9ea1-b15283d2fba1"/>
    <xsd:import namespace="58f7b324-db6b-4959-835f-55eb385b6592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7b324-db6b-4959-835f-55eb385b6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gb40dc7f2b9d47e88655990f6f9f4134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Styre</TermName>
          <TermId xmlns="http://schemas.microsoft.com/office/infopath/2007/PartnerControls">b0f4f6bd-4e5c-42e1-a438-6e04386511e5</TermId>
        </TermInfo>
      </Terms>
    </gb40dc7f2b9d47e88655990f6f9f4134>
    <TaxCatchAll xmlns="ea08695c-71a6-424d-b494-0382f1cd8949">
      <Value>52</Value>
      <Value>18</Value>
    </TaxCatchAll>
    <d03e5549500345819f98d8dbc49daa6e xmlns="ea08695c-71a6-424d-b494-0382f1cd8949">
      <Terms xmlns="http://schemas.microsoft.com/office/infopath/2007/PartnerControls"/>
    </d03e5549500345819f98d8dbc49daa6e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Hedmark Skikrets</TermName>
          <TermId xmlns="http://schemas.microsoft.com/office/infopath/2007/PartnerControls">96958456-eeb8-42f9-a6a6-c84c774cbffb</TermId>
        </TermInfo>
      </Terms>
    </d22229a14cba4c45b75955f9fd950afc>
  </documentManagement>
</p:properties>
</file>

<file path=customXml/itemProps1.xml><?xml version="1.0" encoding="utf-8"?>
<ds:datastoreItem xmlns:ds="http://schemas.openxmlformats.org/officeDocument/2006/customXml" ds:itemID="{D9FDA85A-57EE-4BE4-B763-BB353877B12A}"/>
</file>

<file path=customXml/itemProps2.xml><?xml version="1.0" encoding="utf-8"?>
<ds:datastoreItem xmlns:ds="http://schemas.openxmlformats.org/officeDocument/2006/customXml" ds:itemID="{8A683CA6-F1CB-4DF6-A35D-84D117C7FE65}"/>
</file>

<file path=customXml/itemProps3.xml><?xml version="1.0" encoding="utf-8"?>
<ds:datastoreItem xmlns:ds="http://schemas.openxmlformats.org/officeDocument/2006/customXml" ds:itemID="{6A003F5D-4C80-46C2-A6BB-276EF1AE0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84</vt:i4>
      </vt:variant>
    </vt:vector>
  </HeadingPairs>
  <TitlesOfParts>
    <vt:vector size="100" baseType="lpstr">
      <vt:lpstr>Avdeling</vt:lpstr>
      <vt:lpstr>OSR_Sheet1_c6...5db0f394_DW72BQ</vt:lpstr>
      <vt:lpstr>00</vt:lpstr>
      <vt:lpstr>10</vt:lpstr>
      <vt:lpstr>20</vt:lpstr>
      <vt:lpstr>30</vt:lpstr>
      <vt:lpstr>40</vt:lpstr>
      <vt:lpstr>50</vt:lpstr>
      <vt:lpstr>51</vt:lpstr>
      <vt:lpstr>60</vt:lpstr>
      <vt:lpstr>70</vt:lpstr>
      <vt:lpstr>71</vt:lpstr>
      <vt:lpstr>72</vt:lpstr>
      <vt:lpstr>80</vt:lpstr>
      <vt:lpstr>NULL</vt:lpstr>
      <vt:lpstr>OSR_Ark8_e205...c41c188d_594FYI</vt:lpstr>
      <vt:lpstr>'00'!OSR_GearWriter_0</vt:lpstr>
      <vt:lpstr>'10'!OSR_GearWriter_0</vt:lpstr>
      <vt:lpstr>'20'!OSR_GearWriter_0</vt:lpstr>
      <vt:lpstr>'30'!OSR_GearWriter_0</vt:lpstr>
      <vt:lpstr>'40'!OSR_GearWriter_0</vt:lpstr>
      <vt:lpstr>'50'!OSR_GearWriter_0</vt:lpstr>
      <vt:lpstr>'51'!OSR_GearWriter_0</vt:lpstr>
      <vt:lpstr>'60'!OSR_GearWriter_0</vt:lpstr>
      <vt:lpstr>'70'!OSR_GearWriter_0</vt:lpstr>
      <vt:lpstr>'71'!OSR_GearWriter_0</vt:lpstr>
      <vt:lpstr>'72'!OSR_GearWriter_0</vt:lpstr>
      <vt:lpstr>'80'!OSR_GearWriter_0</vt:lpstr>
      <vt:lpstr>Avdeling!OSR_GearWriter_0</vt:lpstr>
      <vt:lpstr>NULL!OSR_GearWriter_0</vt:lpstr>
      <vt:lpstr>'00'!OSR_GearWriter_1</vt:lpstr>
      <vt:lpstr>'10'!OSR_GearWriter_1</vt:lpstr>
      <vt:lpstr>'20'!OSR_GearWriter_1</vt:lpstr>
      <vt:lpstr>'30'!OSR_GearWriter_1</vt:lpstr>
      <vt:lpstr>'40'!OSR_GearWriter_1</vt:lpstr>
      <vt:lpstr>'50'!OSR_GearWriter_1</vt:lpstr>
      <vt:lpstr>'51'!OSR_GearWriter_1</vt:lpstr>
      <vt:lpstr>'60'!OSR_GearWriter_1</vt:lpstr>
      <vt:lpstr>'70'!OSR_GearWriter_1</vt:lpstr>
      <vt:lpstr>'71'!OSR_GearWriter_1</vt:lpstr>
      <vt:lpstr>'72'!OSR_GearWriter_1</vt:lpstr>
      <vt:lpstr>'80'!OSR_GearWriter_1</vt:lpstr>
      <vt:lpstr>Avdeling!OSR_GearWriter_1</vt:lpstr>
      <vt:lpstr>NULL!OSR_GearWriter_1</vt:lpstr>
      <vt:lpstr>'00'!OSR_GearWriter_2</vt:lpstr>
      <vt:lpstr>'10'!OSR_GearWriter_2</vt:lpstr>
      <vt:lpstr>'20'!OSR_GearWriter_2</vt:lpstr>
      <vt:lpstr>'30'!OSR_GearWriter_2</vt:lpstr>
      <vt:lpstr>'40'!OSR_GearWriter_2</vt:lpstr>
      <vt:lpstr>'50'!OSR_GearWriter_2</vt:lpstr>
      <vt:lpstr>'51'!OSR_GearWriter_2</vt:lpstr>
      <vt:lpstr>'60'!OSR_GearWriter_2</vt:lpstr>
      <vt:lpstr>'70'!OSR_GearWriter_2</vt:lpstr>
      <vt:lpstr>'71'!OSR_GearWriter_2</vt:lpstr>
      <vt:lpstr>'72'!OSR_GearWriter_2</vt:lpstr>
      <vt:lpstr>'80'!OSR_GearWriter_2</vt:lpstr>
      <vt:lpstr>Avdeling!OSR_GearWriter_2</vt:lpstr>
      <vt:lpstr>NULL!OSR_GearWriter_2</vt:lpstr>
      <vt:lpstr>'00'!OSR_GearWriter_3</vt:lpstr>
      <vt:lpstr>'10'!OSR_GearWriter_3</vt:lpstr>
      <vt:lpstr>'20'!OSR_GearWriter_3</vt:lpstr>
      <vt:lpstr>'30'!OSR_GearWriter_3</vt:lpstr>
      <vt:lpstr>'40'!OSR_GearWriter_3</vt:lpstr>
      <vt:lpstr>'50'!OSR_GearWriter_3</vt:lpstr>
      <vt:lpstr>'51'!OSR_GearWriter_3</vt:lpstr>
      <vt:lpstr>'60'!OSR_GearWriter_3</vt:lpstr>
      <vt:lpstr>'70'!OSR_GearWriter_3</vt:lpstr>
      <vt:lpstr>'71'!OSR_GearWriter_3</vt:lpstr>
      <vt:lpstr>'72'!OSR_GearWriter_3</vt:lpstr>
      <vt:lpstr>'80'!OSR_GearWriter_3</vt:lpstr>
      <vt:lpstr>Avdeling!OSR_GearWriter_3</vt:lpstr>
      <vt:lpstr>NULL!OSR_GearWriter_3</vt:lpstr>
      <vt:lpstr>'00'!OSR_GearWriter_4</vt:lpstr>
      <vt:lpstr>'10'!OSR_GearWriter_4</vt:lpstr>
      <vt:lpstr>'20'!OSR_GearWriter_4</vt:lpstr>
      <vt:lpstr>'30'!OSR_GearWriter_4</vt:lpstr>
      <vt:lpstr>'40'!OSR_GearWriter_4</vt:lpstr>
      <vt:lpstr>'50'!OSR_GearWriter_4</vt:lpstr>
      <vt:lpstr>'51'!OSR_GearWriter_4</vt:lpstr>
      <vt:lpstr>'60'!OSR_GearWriter_4</vt:lpstr>
      <vt:lpstr>'70'!OSR_GearWriter_4</vt:lpstr>
      <vt:lpstr>'71'!OSR_GearWriter_4</vt:lpstr>
      <vt:lpstr>'72'!OSR_GearWriter_4</vt:lpstr>
      <vt:lpstr>'80'!OSR_GearWriter_4</vt:lpstr>
      <vt:lpstr>Avdeling!OSR_GearWriter_4</vt:lpstr>
      <vt:lpstr>NULL!OSR_GearWriter_4</vt:lpstr>
      <vt:lpstr>'00'!OSR_GearWriter_5</vt:lpstr>
      <vt:lpstr>'10'!OSR_GearWriter_5</vt:lpstr>
      <vt:lpstr>'20'!OSR_GearWriter_5</vt:lpstr>
      <vt:lpstr>'30'!OSR_GearWriter_5</vt:lpstr>
      <vt:lpstr>'40'!OSR_GearWriter_5</vt:lpstr>
      <vt:lpstr>'50'!OSR_GearWriter_5</vt:lpstr>
      <vt:lpstr>'51'!OSR_GearWriter_5</vt:lpstr>
      <vt:lpstr>'60'!OSR_GearWriter_5</vt:lpstr>
      <vt:lpstr>'70'!OSR_GearWriter_5</vt:lpstr>
      <vt:lpstr>'71'!OSR_GearWriter_5</vt:lpstr>
      <vt:lpstr>'72'!OSR_GearWriter_5</vt:lpstr>
      <vt:lpstr>'80'!OSR_GearWriter_5</vt:lpstr>
      <vt:lpstr>Avdeling!OSR_GearWriter_5</vt:lpstr>
      <vt:lpstr>NULL!OSR_GearWriter_5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Hallgeir Garmo</dc:creator>
  <cp:lastModifiedBy>Hallgeir Garmo</cp:lastModifiedBy>
  <dcterms:created xsi:type="dcterms:W3CDTF">2023-04-27T09:12:33Z</dcterms:created>
  <dcterms:modified xsi:type="dcterms:W3CDTF">2023-04-27T10:12:53Z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F_kategori">
    <vt:lpwstr>52;#Styre|b0f4f6bd-4e5c-42e1-a438-6e04386511e5</vt:lpwstr>
  </property>
  <property fmtid="{D5CDD505-2E9C-101B-9397-08002B2CF9AE}" pid="3" name="Krets">
    <vt:lpwstr>18;#Hedmark Skikrets|96958456-eeb8-42f9-a6a6-c84c774cbffb</vt:lpwstr>
  </property>
  <property fmtid="{D5CDD505-2E9C-101B-9397-08002B2CF9AE}" pid="4" name="ContentTypeId">
    <vt:lpwstr>0x010100C911728A90861248B04C4328C2192325</vt:lpwstr>
  </property>
  <property fmtid="{D5CDD505-2E9C-101B-9397-08002B2CF9AE}" pid="5" name="arGren">
    <vt:lpwstr/>
  </property>
  <property fmtid="{D5CDD505-2E9C-101B-9397-08002B2CF9AE}" pid="6" name="Dokumenttype">
    <vt:lpwstr/>
  </property>
</Properties>
</file>